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site\Departments\Clerk\"/>
    </mc:Choice>
  </mc:AlternateContent>
  <xr:revisionPtr revIDLastSave="0" documentId="8_{25B36AA3-A8C0-4C81-B12E-43E2422108E9}" xr6:coauthVersionLast="47" xr6:coauthVersionMax="47" xr10:uidLastSave="{00000000-0000-0000-0000-000000000000}"/>
  <bookViews>
    <workbookView xWindow="-120" yWindow="-120" windowWidth="29040" windowHeight="15720" xr2:uid="{800C7153-DFAC-4E74-8024-13761EBCAA90}"/>
  </bookViews>
  <sheets>
    <sheet name="Election result data 11.13.2025" sheetId="1" r:id="rId1"/>
  </sheets>
  <calcPr calcId="0"/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  <c r="A75" i="1"/>
  <c r="B75" i="1"/>
  <c r="C75" i="1"/>
  <c r="D75" i="1"/>
  <c r="E75" i="1"/>
  <c r="A76" i="1"/>
  <c r="B76" i="1"/>
  <c r="C76" i="1"/>
  <c r="D76" i="1"/>
  <c r="E76" i="1"/>
  <c r="A77" i="1"/>
  <c r="B77" i="1"/>
  <c r="C77" i="1"/>
  <c r="D77" i="1"/>
  <c r="E77" i="1"/>
  <c r="A78" i="1"/>
  <c r="B78" i="1"/>
  <c r="C78" i="1"/>
  <c r="D78" i="1"/>
  <c r="E78" i="1"/>
  <c r="A79" i="1"/>
  <c r="B79" i="1"/>
  <c r="C79" i="1"/>
  <c r="D79" i="1"/>
  <c r="E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  <c r="A83" i="1"/>
  <c r="B83" i="1"/>
  <c r="C83" i="1"/>
  <c r="D83" i="1"/>
  <c r="E83" i="1"/>
  <c r="A84" i="1"/>
  <c r="B84" i="1"/>
  <c r="C84" i="1"/>
  <c r="D84" i="1"/>
  <c r="E84" i="1"/>
  <c r="A85" i="1"/>
  <c r="B85" i="1"/>
  <c r="C85" i="1"/>
  <c r="D85" i="1"/>
  <c r="E85" i="1"/>
  <c r="A86" i="1"/>
  <c r="B86" i="1"/>
  <c r="C86" i="1"/>
  <c r="D86" i="1"/>
  <c r="E86" i="1"/>
  <c r="A87" i="1"/>
  <c r="B87" i="1"/>
  <c r="C87" i="1"/>
  <c r="D87" i="1"/>
  <c r="E87" i="1"/>
  <c r="A88" i="1"/>
  <c r="B88" i="1"/>
  <c r="C88" i="1"/>
  <c r="D88" i="1"/>
  <c r="E88" i="1"/>
  <c r="A89" i="1"/>
  <c r="B89" i="1"/>
  <c r="C89" i="1"/>
  <c r="D89" i="1"/>
  <c r="E89" i="1"/>
  <c r="A90" i="1"/>
  <c r="B90" i="1"/>
  <c r="C90" i="1"/>
  <c r="D90" i="1"/>
  <c r="E90" i="1"/>
  <c r="A91" i="1"/>
  <c r="B91" i="1"/>
  <c r="C91" i="1"/>
  <c r="D91" i="1"/>
  <c r="E91" i="1"/>
  <c r="A92" i="1"/>
  <c r="B92" i="1"/>
  <c r="C92" i="1"/>
  <c r="D92" i="1"/>
  <c r="E92" i="1"/>
  <c r="A93" i="1"/>
  <c r="B93" i="1"/>
  <c r="C93" i="1"/>
  <c r="D93" i="1"/>
  <c r="E93" i="1"/>
  <c r="A94" i="1"/>
  <c r="B94" i="1"/>
  <c r="C94" i="1"/>
  <c r="D94" i="1"/>
  <c r="E94" i="1"/>
  <c r="A95" i="1"/>
  <c r="B95" i="1"/>
  <c r="C95" i="1"/>
  <c r="D95" i="1"/>
  <c r="E95" i="1"/>
  <c r="A96" i="1"/>
  <c r="B96" i="1"/>
  <c r="C96" i="1"/>
  <c r="D96" i="1"/>
  <c r="E96" i="1"/>
  <c r="A97" i="1"/>
  <c r="B97" i="1"/>
  <c r="C97" i="1"/>
  <c r="D97" i="1"/>
  <c r="E97" i="1"/>
  <c r="A98" i="1"/>
  <c r="B98" i="1"/>
  <c r="C98" i="1"/>
  <c r="D98" i="1"/>
  <c r="E98" i="1"/>
  <c r="A99" i="1"/>
  <c r="B99" i="1"/>
  <c r="C99" i="1"/>
  <c r="D99" i="1"/>
  <c r="E99" i="1"/>
  <c r="A100" i="1"/>
  <c r="B100" i="1"/>
  <c r="C100" i="1"/>
  <c r="D100" i="1"/>
  <c r="E100" i="1"/>
  <c r="A101" i="1"/>
  <c r="B101" i="1"/>
  <c r="C101" i="1"/>
  <c r="D101" i="1"/>
  <c r="E101" i="1"/>
  <c r="A102" i="1"/>
  <c r="B102" i="1"/>
  <c r="C102" i="1"/>
  <c r="D102" i="1"/>
  <c r="E102" i="1"/>
  <c r="A103" i="1"/>
  <c r="B103" i="1"/>
  <c r="C103" i="1"/>
  <c r="D103" i="1"/>
  <c r="E103" i="1"/>
  <c r="A104" i="1"/>
  <c r="B104" i="1"/>
  <c r="C104" i="1"/>
  <c r="D104" i="1"/>
  <c r="E104" i="1"/>
  <c r="A105" i="1"/>
  <c r="B105" i="1"/>
  <c r="C105" i="1"/>
  <c r="D105" i="1"/>
  <c r="E105" i="1"/>
  <c r="A106" i="1"/>
  <c r="B106" i="1"/>
  <c r="C106" i="1"/>
  <c r="D106" i="1"/>
  <c r="E106" i="1"/>
  <c r="A107" i="1"/>
  <c r="B107" i="1"/>
  <c r="C107" i="1"/>
  <c r="D107" i="1"/>
  <c r="E107" i="1"/>
  <c r="A108" i="1"/>
  <c r="B108" i="1"/>
  <c r="C108" i="1"/>
  <c r="D108" i="1"/>
  <c r="E108" i="1"/>
  <c r="A109" i="1"/>
  <c r="B109" i="1"/>
  <c r="C109" i="1"/>
  <c r="D109" i="1"/>
  <c r="E109" i="1"/>
  <c r="A110" i="1"/>
  <c r="B110" i="1"/>
  <c r="C110" i="1"/>
  <c r="D110" i="1"/>
  <c r="E110" i="1"/>
  <c r="A111" i="1"/>
  <c r="B111" i="1"/>
  <c r="C111" i="1"/>
  <c r="D111" i="1"/>
  <c r="E111" i="1"/>
  <c r="A112" i="1"/>
  <c r="B112" i="1"/>
  <c r="C112" i="1"/>
  <c r="D112" i="1"/>
  <c r="E112" i="1"/>
  <c r="A113" i="1"/>
  <c r="B113" i="1"/>
  <c r="C113" i="1"/>
  <c r="D113" i="1"/>
  <c r="E113" i="1"/>
  <c r="A114" i="1"/>
  <c r="B114" i="1"/>
  <c r="C114" i="1"/>
  <c r="D114" i="1"/>
  <c r="E114" i="1"/>
  <c r="A115" i="1"/>
  <c r="B115" i="1"/>
  <c r="C115" i="1"/>
  <c r="D115" i="1"/>
  <c r="E115" i="1"/>
  <c r="A116" i="1"/>
  <c r="B116" i="1"/>
  <c r="C116" i="1"/>
  <c r="D116" i="1"/>
  <c r="E116" i="1"/>
  <c r="A117" i="1"/>
  <c r="B117" i="1"/>
  <c r="C117" i="1"/>
  <c r="D117" i="1"/>
  <c r="E117" i="1"/>
  <c r="A118" i="1"/>
  <c r="B118" i="1"/>
  <c r="C118" i="1"/>
  <c r="D118" i="1"/>
  <c r="E118" i="1"/>
  <c r="A119" i="1"/>
  <c r="B119" i="1"/>
  <c r="C119" i="1"/>
  <c r="D119" i="1"/>
  <c r="E119" i="1"/>
  <c r="A120" i="1"/>
  <c r="B120" i="1"/>
  <c r="C120" i="1"/>
  <c r="D120" i="1"/>
  <c r="E120" i="1"/>
  <c r="A121" i="1"/>
  <c r="B121" i="1"/>
  <c r="C121" i="1"/>
  <c r="D121" i="1"/>
  <c r="E121" i="1"/>
  <c r="A122" i="1"/>
  <c r="B122" i="1"/>
  <c r="C122" i="1"/>
  <c r="D122" i="1"/>
  <c r="E122" i="1"/>
  <c r="A123" i="1"/>
  <c r="B123" i="1"/>
  <c r="C123" i="1"/>
  <c r="D123" i="1"/>
  <c r="E123" i="1"/>
  <c r="A124" i="1"/>
  <c r="B124" i="1"/>
  <c r="C124" i="1"/>
  <c r="D124" i="1"/>
  <c r="E124" i="1"/>
  <c r="A125" i="1"/>
  <c r="B125" i="1"/>
  <c r="C125" i="1"/>
  <c r="D125" i="1"/>
  <c r="E125" i="1"/>
  <c r="A126" i="1"/>
  <c r="B126" i="1"/>
  <c r="C126" i="1"/>
  <c r="D126" i="1"/>
  <c r="E126" i="1"/>
  <c r="A127" i="1"/>
  <c r="B127" i="1"/>
  <c r="C127" i="1"/>
  <c r="D127" i="1"/>
  <c r="E127" i="1"/>
  <c r="A128" i="1"/>
  <c r="B128" i="1"/>
  <c r="C128" i="1"/>
  <c r="D128" i="1"/>
  <c r="E128" i="1"/>
  <c r="A129" i="1"/>
  <c r="B129" i="1"/>
  <c r="C129" i="1"/>
  <c r="D129" i="1"/>
  <c r="E129" i="1"/>
  <c r="A130" i="1"/>
  <c r="B130" i="1"/>
  <c r="C130" i="1"/>
  <c r="D130" i="1"/>
  <c r="E130" i="1"/>
  <c r="A131" i="1"/>
  <c r="B131" i="1"/>
  <c r="C131" i="1"/>
  <c r="D131" i="1"/>
  <c r="E131" i="1"/>
  <c r="A132" i="1"/>
  <c r="B132" i="1"/>
  <c r="C132" i="1"/>
  <c r="D132" i="1"/>
  <c r="E132" i="1"/>
  <c r="A133" i="1"/>
  <c r="B133" i="1"/>
  <c r="C133" i="1"/>
  <c r="D133" i="1"/>
  <c r="E133" i="1"/>
  <c r="A134" i="1"/>
  <c r="B134" i="1"/>
  <c r="C134" i="1"/>
  <c r="D134" i="1"/>
  <c r="E134" i="1"/>
  <c r="A135" i="1"/>
  <c r="B135" i="1"/>
  <c r="C135" i="1"/>
  <c r="D135" i="1"/>
  <c r="E135" i="1"/>
  <c r="A136" i="1"/>
  <c r="B136" i="1"/>
  <c r="C136" i="1"/>
  <c r="D136" i="1"/>
  <c r="E136" i="1"/>
  <c r="A137" i="1"/>
  <c r="B137" i="1"/>
  <c r="C137" i="1"/>
  <c r="D137" i="1"/>
  <c r="E137" i="1"/>
  <c r="A138" i="1"/>
  <c r="B138" i="1"/>
  <c r="C138" i="1"/>
  <c r="D138" i="1"/>
  <c r="E138" i="1"/>
  <c r="A139" i="1"/>
  <c r="B139" i="1"/>
  <c r="C139" i="1"/>
  <c r="D139" i="1"/>
  <c r="E139" i="1"/>
  <c r="A140" i="1"/>
  <c r="B140" i="1"/>
  <c r="C140" i="1"/>
  <c r="D140" i="1"/>
  <c r="E140" i="1"/>
  <c r="A141" i="1"/>
  <c r="B141" i="1"/>
  <c r="C141" i="1"/>
  <c r="D141" i="1"/>
  <c r="E141" i="1"/>
  <c r="A142" i="1"/>
  <c r="B142" i="1"/>
  <c r="C142" i="1"/>
  <c r="D142" i="1"/>
  <c r="E142" i="1"/>
  <c r="A143" i="1"/>
  <c r="B143" i="1"/>
  <c r="C143" i="1"/>
  <c r="D143" i="1"/>
  <c r="E143" i="1"/>
  <c r="A144" i="1"/>
  <c r="B144" i="1"/>
  <c r="C144" i="1"/>
  <c r="D144" i="1"/>
  <c r="E144" i="1"/>
  <c r="A145" i="1"/>
  <c r="B145" i="1"/>
  <c r="C145" i="1"/>
  <c r="D145" i="1"/>
  <c r="E145" i="1"/>
  <c r="A146" i="1"/>
  <c r="B146" i="1"/>
  <c r="C146" i="1"/>
  <c r="D146" i="1"/>
  <c r="E146" i="1"/>
  <c r="A147" i="1"/>
  <c r="B147" i="1"/>
  <c r="C147" i="1"/>
  <c r="D147" i="1"/>
  <c r="E147" i="1"/>
  <c r="A148" i="1"/>
  <c r="B148" i="1"/>
  <c r="C148" i="1"/>
  <c r="D148" i="1"/>
  <c r="E148" i="1"/>
  <c r="A149" i="1"/>
  <c r="B149" i="1"/>
  <c r="C149" i="1"/>
  <c r="D149" i="1"/>
  <c r="E149" i="1"/>
  <c r="A150" i="1"/>
  <c r="B150" i="1"/>
  <c r="C150" i="1"/>
  <c r="D150" i="1"/>
  <c r="E150" i="1"/>
  <c r="A151" i="1"/>
  <c r="B151" i="1"/>
  <c r="C151" i="1"/>
  <c r="D151" i="1"/>
  <c r="E151" i="1"/>
  <c r="A152" i="1"/>
  <c r="B152" i="1"/>
  <c r="C152" i="1"/>
  <c r="D152" i="1"/>
  <c r="E152" i="1"/>
  <c r="A153" i="1"/>
  <c r="B153" i="1"/>
  <c r="C153" i="1"/>
  <c r="D153" i="1"/>
  <c r="E153" i="1"/>
  <c r="A154" i="1"/>
  <c r="B154" i="1"/>
  <c r="C154" i="1"/>
  <c r="D154" i="1"/>
  <c r="E154" i="1"/>
  <c r="A155" i="1"/>
  <c r="B155" i="1"/>
  <c r="C155" i="1"/>
  <c r="D155" i="1"/>
  <c r="E155" i="1"/>
  <c r="A156" i="1"/>
  <c r="B156" i="1"/>
  <c r="C156" i="1"/>
  <c r="D156" i="1"/>
  <c r="E156" i="1"/>
  <c r="A157" i="1"/>
  <c r="B157" i="1"/>
  <c r="C157" i="1"/>
  <c r="D157" i="1"/>
  <c r="E157" i="1"/>
  <c r="A158" i="1"/>
  <c r="B158" i="1"/>
  <c r="C158" i="1"/>
  <c r="D158" i="1"/>
  <c r="E158" i="1"/>
  <c r="A159" i="1"/>
  <c r="B159" i="1"/>
  <c r="C159" i="1"/>
  <c r="D159" i="1"/>
  <c r="E159" i="1"/>
  <c r="A160" i="1"/>
  <c r="B160" i="1"/>
  <c r="C160" i="1"/>
  <c r="D160" i="1"/>
  <c r="E160" i="1"/>
  <c r="A161" i="1"/>
  <c r="B161" i="1"/>
  <c r="C161" i="1"/>
  <c r="D161" i="1"/>
  <c r="E161" i="1"/>
  <c r="A162" i="1"/>
  <c r="B162" i="1"/>
  <c r="C162" i="1"/>
  <c r="D162" i="1"/>
  <c r="E162" i="1"/>
  <c r="A163" i="1"/>
  <c r="B163" i="1"/>
  <c r="C163" i="1"/>
  <c r="D163" i="1"/>
  <c r="E163" i="1"/>
  <c r="A164" i="1"/>
  <c r="B164" i="1"/>
  <c r="C164" i="1"/>
  <c r="D164" i="1"/>
  <c r="E164" i="1"/>
  <c r="A165" i="1"/>
  <c r="B165" i="1"/>
  <c r="C165" i="1"/>
  <c r="D165" i="1"/>
  <c r="E165" i="1"/>
  <c r="A166" i="1"/>
  <c r="B166" i="1"/>
  <c r="C166" i="1"/>
  <c r="D166" i="1"/>
  <c r="E166" i="1"/>
  <c r="A167" i="1"/>
  <c r="B167" i="1"/>
  <c r="C167" i="1"/>
  <c r="D167" i="1"/>
  <c r="E167" i="1"/>
  <c r="A168" i="1"/>
  <c r="B168" i="1"/>
  <c r="C168" i="1"/>
  <c r="D168" i="1"/>
  <c r="E168" i="1"/>
  <c r="A169" i="1"/>
  <c r="B169" i="1"/>
  <c r="C169" i="1"/>
  <c r="D169" i="1"/>
  <c r="E169" i="1"/>
  <c r="A170" i="1"/>
  <c r="B170" i="1"/>
  <c r="C170" i="1"/>
  <c r="D170" i="1"/>
  <c r="E170" i="1"/>
  <c r="A171" i="1"/>
  <c r="B171" i="1"/>
  <c r="C171" i="1"/>
  <c r="D171" i="1"/>
  <c r="E171" i="1"/>
  <c r="A172" i="1"/>
  <c r="B172" i="1"/>
  <c r="C172" i="1"/>
  <c r="D172" i="1"/>
  <c r="E172" i="1"/>
  <c r="A173" i="1"/>
  <c r="B173" i="1"/>
  <c r="C173" i="1"/>
  <c r="D173" i="1"/>
  <c r="E173" i="1"/>
  <c r="A174" i="1"/>
  <c r="B174" i="1"/>
  <c r="C174" i="1"/>
  <c r="D174" i="1"/>
  <c r="E174" i="1"/>
  <c r="A175" i="1"/>
  <c r="B175" i="1"/>
  <c r="C175" i="1"/>
  <c r="D175" i="1"/>
  <c r="E175" i="1"/>
  <c r="A176" i="1"/>
  <c r="B176" i="1"/>
  <c r="C176" i="1"/>
  <c r="D176" i="1"/>
  <c r="E176" i="1"/>
  <c r="A177" i="1"/>
  <c r="B177" i="1"/>
  <c r="C177" i="1"/>
  <c r="D177" i="1"/>
  <c r="E177" i="1"/>
  <c r="A178" i="1"/>
  <c r="B178" i="1"/>
  <c r="C178" i="1"/>
  <c r="D178" i="1"/>
  <c r="E178" i="1"/>
  <c r="A179" i="1"/>
  <c r="B179" i="1"/>
  <c r="C179" i="1"/>
  <c r="D179" i="1"/>
  <c r="E179" i="1"/>
  <c r="A180" i="1"/>
  <c r="B180" i="1"/>
  <c r="C180" i="1"/>
  <c r="D180" i="1"/>
  <c r="E180" i="1"/>
  <c r="A181" i="1"/>
  <c r="B181" i="1"/>
  <c r="C181" i="1"/>
  <c r="D181" i="1"/>
  <c r="E181" i="1"/>
  <c r="A182" i="1"/>
  <c r="B182" i="1"/>
  <c r="C182" i="1"/>
  <c r="D182" i="1"/>
  <c r="E182" i="1"/>
  <c r="A183" i="1"/>
  <c r="B183" i="1"/>
  <c r="C183" i="1"/>
  <c r="D183" i="1"/>
  <c r="E183" i="1"/>
  <c r="A184" i="1"/>
  <c r="B184" i="1"/>
  <c r="C184" i="1"/>
  <c r="D184" i="1"/>
  <c r="E184" i="1"/>
  <c r="A185" i="1"/>
  <c r="B185" i="1"/>
  <c r="C185" i="1"/>
  <c r="D185" i="1"/>
  <c r="E185" i="1"/>
  <c r="A186" i="1"/>
  <c r="B186" i="1"/>
  <c r="C186" i="1"/>
  <c r="D186" i="1"/>
  <c r="E186" i="1"/>
  <c r="A187" i="1"/>
  <c r="B187" i="1"/>
  <c r="C187" i="1"/>
  <c r="D187" i="1"/>
  <c r="E187" i="1"/>
  <c r="A188" i="1"/>
  <c r="B188" i="1"/>
  <c r="C188" i="1"/>
  <c r="D188" i="1"/>
  <c r="E188" i="1"/>
  <c r="A189" i="1"/>
  <c r="B189" i="1"/>
  <c r="C189" i="1"/>
  <c r="D189" i="1"/>
  <c r="E189" i="1"/>
  <c r="A190" i="1"/>
  <c r="B190" i="1"/>
  <c r="C190" i="1"/>
  <c r="D190" i="1"/>
  <c r="E190" i="1"/>
  <c r="A191" i="1"/>
  <c r="B191" i="1"/>
  <c r="C191" i="1"/>
  <c r="D191" i="1"/>
  <c r="E191" i="1"/>
  <c r="A192" i="1"/>
  <c r="B192" i="1"/>
  <c r="C192" i="1"/>
  <c r="D192" i="1"/>
  <c r="E192" i="1"/>
  <c r="A193" i="1"/>
  <c r="B193" i="1"/>
  <c r="C193" i="1"/>
  <c r="D193" i="1"/>
  <c r="E193" i="1"/>
  <c r="A194" i="1"/>
  <c r="B194" i="1"/>
  <c r="C194" i="1"/>
  <c r="D194" i="1"/>
  <c r="E194" i="1"/>
  <c r="A195" i="1"/>
  <c r="B195" i="1"/>
  <c r="C195" i="1"/>
  <c r="D195" i="1"/>
  <c r="E195" i="1"/>
  <c r="A196" i="1"/>
  <c r="B196" i="1"/>
  <c r="C196" i="1"/>
  <c r="D196" i="1"/>
  <c r="E196" i="1"/>
  <c r="A197" i="1"/>
  <c r="B197" i="1"/>
  <c r="C197" i="1"/>
  <c r="D197" i="1"/>
  <c r="E197" i="1"/>
  <c r="A198" i="1"/>
  <c r="B198" i="1"/>
  <c r="C198" i="1"/>
  <c r="D198" i="1"/>
  <c r="E198" i="1"/>
  <c r="A199" i="1"/>
  <c r="B199" i="1"/>
  <c r="C199" i="1"/>
  <c r="D199" i="1"/>
  <c r="E199" i="1"/>
  <c r="A200" i="1"/>
  <c r="B200" i="1"/>
  <c r="C200" i="1"/>
  <c r="D200" i="1"/>
  <c r="E200" i="1"/>
  <c r="A201" i="1"/>
  <c r="B201" i="1"/>
  <c r="C201" i="1"/>
  <c r="D201" i="1"/>
  <c r="E201" i="1"/>
  <c r="A202" i="1"/>
  <c r="B202" i="1"/>
  <c r="C202" i="1"/>
  <c r="D202" i="1"/>
  <c r="E202" i="1"/>
  <c r="A203" i="1"/>
  <c r="B203" i="1"/>
  <c r="C203" i="1"/>
  <c r="D203" i="1"/>
  <c r="E203" i="1"/>
  <c r="A204" i="1"/>
  <c r="B204" i="1"/>
  <c r="C204" i="1"/>
  <c r="D204" i="1"/>
  <c r="E204" i="1"/>
  <c r="A205" i="1"/>
  <c r="B205" i="1"/>
  <c r="C205" i="1"/>
  <c r="D205" i="1"/>
  <c r="E205" i="1"/>
  <c r="A206" i="1"/>
  <c r="B206" i="1"/>
  <c r="C206" i="1"/>
  <c r="D206" i="1"/>
  <c r="E206" i="1"/>
  <c r="A207" i="1"/>
  <c r="B207" i="1"/>
  <c r="C207" i="1"/>
  <c r="D207" i="1"/>
  <c r="E207" i="1"/>
  <c r="A208" i="1"/>
  <c r="B208" i="1"/>
  <c r="C208" i="1"/>
  <c r="D208" i="1"/>
  <c r="E208" i="1"/>
  <c r="A209" i="1"/>
  <c r="B209" i="1"/>
  <c r="C209" i="1"/>
  <c r="D209" i="1"/>
  <c r="E209" i="1"/>
  <c r="A210" i="1"/>
  <c r="B210" i="1"/>
  <c r="C210" i="1"/>
  <c r="D210" i="1"/>
  <c r="E210" i="1"/>
  <c r="A211" i="1"/>
  <c r="B211" i="1"/>
  <c r="C211" i="1"/>
  <c r="D211" i="1"/>
  <c r="E211" i="1"/>
  <c r="A212" i="1"/>
  <c r="B212" i="1"/>
  <c r="C212" i="1"/>
  <c r="D212" i="1"/>
  <c r="E212" i="1"/>
  <c r="A213" i="1"/>
  <c r="B213" i="1"/>
  <c r="C213" i="1"/>
  <c r="D213" i="1"/>
  <c r="E213" i="1"/>
  <c r="A214" i="1"/>
  <c r="B214" i="1"/>
  <c r="C214" i="1"/>
  <c r="D214" i="1"/>
  <c r="E214" i="1"/>
  <c r="A215" i="1"/>
  <c r="B215" i="1"/>
  <c r="C215" i="1"/>
  <c r="D215" i="1"/>
  <c r="E215" i="1"/>
  <c r="A216" i="1"/>
  <c r="B216" i="1"/>
  <c r="C216" i="1"/>
  <c r="D216" i="1"/>
  <c r="E216" i="1"/>
  <c r="A217" i="1"/>
  <c r="B217" i="1"/>
  <c r="C217" i="1"/>
  <c r="D217" i="1"/>
  <c r="E217" i="1"/>
  <c r="A218" i="1"/>
  <c r="B218" i="1"/>
  <c r="C218" i="1"/>
  <c r="D218" i="1"/>
  <c r="E218" i="1"/>
  <c r="A219" i="1"/>
  <c r="B219" i="1"/>
  <c r="C219" i="1"/>
  <c r="D219" i="1"/>
  <c r="E219" i="1"/>
  <c r="A220" i="1"/>
  <c r="B220" i="1"/>
  <c r="C220" i="1"/>
  <c r="D220" i="1"/>
  <c r="E220" i="1"/>
  <c r="A221" i="1"/>
  <c r="B221" i="1"/>
  <c r="C221" i="1"/>
  <c r="D221" i="1"/>
  <c r="E221" i="1"/>
  <c r="A222" i="1"/>
  <c r="B222" i="1"/>
  <c r="C222" i="1"/>
  <c r="D222" i="1"/>
  <c r="E222" i="1"/>
  <c r="A223" i="1"/>
  <c r="B223" i="1"/>
  <c r="C223" i="1"/>
  <c r="D223" i="1"/>
  <c r="E223" i="1"/>
  <c r="A224" i="1"/>
  <c r="B224" i="1"/>
  <c r="C224" i="1"/>
  <c r="D224" i="1"/>
  <c r="E224" i="1"/>
  <c r="A225" i="1"/>
  <c r="B225" i="1"/>
  <c r="C225" i="1"/>
  <c r="D225" i="1"/>
  <c r="E225" i="1"/>
  <c r="A226" i="1"/>
  <c r="B226" i="1"/>
  <c r="C226" i="1"/>
  <c r="D226" i="1"/>
  <c r="E226" i="1"/>
  <c r="A227" i="1"/>
  <c r="B227" i="1"/>
  <c r="C227" i="1"/>
  <c r="D227" i="1"/>
  <c r="E227" i="1"/>
  <c r="A228" i="1"/>
  <c r="B228" i="1"/>
  <c r="C228" i="1"/>
  <c r="D228" i="1"/>
  <c r="E228" i="1"/>
  <c r="A229" i="1"/>
  <c r="B229" i="1"/>
  <c r="C229" i="1"/>
  <c r="D229" i="1"/>
  <c r="E229" i="1"/>
  <c r="A230" i="1"/>
  <c r="B230" i="1"/>
  <c r="C230" i="1"/>
  <c r="D230" i="1"/>
  <c r="E230" i="1"/>
  <c r="A231" i="1"/>
  <c r="B231" i="1"/>
  <c r="C231" i="1"/>
  <c r="D231" i="1"/>
  <c r="E231" i="1"/>
  <c r="A232" i="1"/>
  <c r="B232" i="1"/>
  <c r="C232" i="1"/>
  <c r="D232" i="1"/>
  <c r="E232" i="1"/>
  <c r="A233" i="1"/>
  <c r="B233" i="1"/>
  <c r="C233" i="1"/>
  <c r="D233" i="1"/>
  <c r="E233" i="1"/>
  <c r="A234" i="1"/>
  <c r="B234" i="1"/>
  <c r="C234" i="1"/>
  <c r="D234" i="1"/>
  <c r="E234" i="1"/>
  <c r="A235" i="1"/>
  <c r="B235" i="1"/>
  <c r="C235" i="1"/>
  <c r="D235" i="1"/>
  <c r="E235" i="1"/>
  <c r="A236" i="1"/>
  <c r="B236" i="1"/>
  <c r="C236" i="1"/>
  <c r="D236" i="1"/>
  <c r="E236" i="1"/>
  <c r="A237" i="1"/>
  <c r="B237" i="1"/>
  <c r="C237" i="1"/>
  <c r="D237" i="1"/>
  <c r="E237" i="1"/>
  <c r="A238" i="1"/>
  <c r="B238" i="1"/>
  <c r="C238" i="1"/>
  <c r="D238" i="1"/>
  <c r="E238" i="1"/>
  <c r="A239" i="1"/>
  <c r="B239" i="1"/>
  <c r="C239" i="1"/>
  <c r="D239" i="1"/>
  <c r="E239" i="1"/>
  <c r="A240" i="1"/>
  <c r="B240" i="1"/>
  <c r="C240" i="1"/>
  <c r="D240" i="1"/>
  <c r="E240" i="1"/>
  <c r="A241" i="1"/>
  <c r="B241" i="1"/>
  <c r="C241" i="1"/>
  <c r="D241" i="1"/>
  <c r="E241" i="1"/>
  <c r="A242" i="1"/>
  <c r="B242" i="1"/>
  <c r="C242" i="1"/>
  <c r="D242" i="1"/>
  <c r="E242" i="1"/>
  <c r="A243" i="1"/>
  <c r="B243" i="1"/>
  <c r="C243" i="1"/>
  <c r="D243" i="1"/>
  <c r="E243" i="1"/>
  <c r="A244" i="1"/>
  <c r="B244" i="1"/>
  <c r="C244" i="1"/>
  <c r="D244" i="1"/>
  <c r="E244" i="1"/>
  <c r="A245" i="1"/>
  <c r="B245" i="1"/>
  <c r="C245" i="1"/>
  <c r="D245" i="1"/>
  <c r="E245" i="1"/>
  <c r="A246" i="1"/>
  <c r="B246" i="1"/>
  <c r="C246" i="1"/>
  <c r="D246" i="1"/>
  <c r="E246" i="1"/>
  <c r="A247" i="1"/>
  <c r="B247" i="1"/>
  <c r="C247" i="1"/>
  <c r="D247" i="1"/>
  <c r="E247" i="1"/>
  <c r="A248" i="1"/>
  <c r="B248" i="1"/>
  <c r="C248" i="1"/>
  <c r="D248" i="1"/>
  <c r="E248" i="1"/>
  <c r="A249" i="1"/>
  <c r="B249" i="1"/>
  <c r="C249" i="1"/>
  <c r="D249" i="1"/>
  <c r="E249" i="1"/>
  <c r="A250" i="1"/>
  <c r="B250" i="1"/>
  <c r="C250" i="1"/>
  <c r="D250" i="1"/>
  <c r="E250" i="1"/>
  <c r="A251" i="1"/>
  <c r="B251" i="1"/>
  <c r="C251" i="1"/>
  <c r="D251" i="1"/>
  <c r="E251" i="1"/>
  <c r="A252" i="1"/>
  <c r="B252" i="1"/>
  <c r="C252" i="1"/>
  <c r="D252" i="1"/>
  <c r="E252" i="1"/>
  <c r="A253" i="1"/>
  <c r="B253" i="1"/>
  <c r="C253" i="1"/>
  <c r="D253" i="1"/>
  <c r="E253" i="1"/>
  <c r="A254" i="1"/>
  <c r="B254" i="1"/>
  <c r="C254" i="1"/>
  <c r="D254" i="1"/>
  <c r="E254" i="1"/>
  <c r="A255" i="1"/>
  <c r="B255" i="1"/>
  <c r="C255" i="1"/>
  <c r="D255" i="1"/>
  <c r="E255" i="1"/>
  <c r="A256" i="1"/>
  <c r="B256" i="1"/>
  <c r="C256" i="1"/>
  <c r="D256" i="1"/>
  <c r="E256" i="1"/>
  <c r="A257" i="1"/>
  <c r="B257" i="1"/>
  <c r="C257" i="1"/>
  <c r="D257" i="1"/>
  <c r="E257" i="1"/>
  <c r="A258" i="1"/>
  <c r="B258" i="1"/>
  <c r="C258" i="1"/>
  <c r="D258" i="1"/>
  <c r="E258" i="1"/>
  <c r="A259" i="1"/>
  <c r="B259" i="1"/>
  <c r="C259" i="1"/>
  <c r="D259" i="1"/>
  <c r="E259" i="1"/>
  <c r="A260" i="1"/>
  <c r="B260" i="1"/>
  <c r="C260" i="1"/>
  <c r="D260" i="1"/>
  <c r="E260" i="1"/>
  <c r="A261" i="1"/>
  <c r="B261" i="1"/>
  <c r="C261" i="1"/>
  <c r="D261" i="1"/>
  <c r="E261" i="1"/>
  <c r="A262" i="1"/>
  <c r="B262" i="1"/>
  <c r="C262" i="1"/>
  <c r="D262" i="1"/>
  <c r="E262" i="1"/>
  <c r="A263" i="1"/>
  <c r="B263" i="1"/>
  <c r="C263" i="1"/>
  <c r="D263" i="1"/>
  <c r="E263" i="1"/>
  <c r="A264" i="1"/>
  <c r="B264" i="1"/>
  <c r="C264" i="1"/>
  <c r="D264" i="1"/>
  <c r="E264" i="1"/>
  <c r="A265" i="1"/>
  <c r="B265" i="1"/>
  <c r="C265" i="1"/>
  <c r="D265" i="1"/>
  <c r="E265" i="1"/>
  <c r="A266" i="1"/>
  <c r="B266" i="1"/>
  <c r="C266" i="1"/>
  <c r="D266" i="1"/>
  <c r="E266" i="1"/>
  <c r="A267" i="1"/>
  <c r="B267" i="1"/>
  <c r="C267" i="1"/>
  <c r="D267" i="1"/>
  <c r="E267" i="1"/>
  <c r="A268" i="1"/>
  <c r="B268" i="1"/>
  <c r="C268" i="1"/>
  <c r="D268" i="1"/>
  <c r="E268" i="1"/>
  <c r="A269" i="1"/>
  <c r="B269" i="1"/>
  <c r="C269" i="1"/>
  <c r="D269" i="1"/>
  <c r="E269" i="1"/>
  <c r="A270" i="1"/>
  <c r="B270" i="1"/>
  <c r="C270" i="1"/>
  <c r="D270" i="1"/>
  <c r="E270" i="1"/>
  <c r="A271" i="1"/>
  <c r="B271" i="1"/>
  <c r="C271" i="1"/>
  <c r="D271" i="1"/>
  <c r="E271" i="1"/>
  <c r="A272" i="1"/>
  <c r="B272" i="1"/>
  <c r="C272" i="1"/>
  <c r="D272" i="1"/>
  <c r="E272" i="1"/>
  <c r="A273" i="1"/>
  <c r="B273" i="1"/>
  <c r="C273" i="1"/>
  <c r="D273" i="1"/>
  <c r="E273" i="1"/>
  <c r="A274" i="1"/>
  <c r="B274" i="1"/>
  <c r="C274" i="1"/>
  <c r="D274" i="1"/>
  <c r="E274" i="1"/>
  <c r="A275" i="1"/>
  <c r="B275" i="1"/>
  <c r="C275" i="1"/>
  <c r="D275" i="1"/>
  <c r="E275" i="1"/>
  <c r="A276" i="1"/>
  <c r="B276" i="1"/>
  <c r="C276" i="1"/>
  <c r="D276" i="1"/>
  <c r="E276" i="1"/>
  <c r="A277" i="1"/>
  <c r="B277" i="1"/>
  <c r="C277" i="1"/>
  <c r="D277" i="1"/>
  <c r="E277" i="1"/>
  <c r="A278" i="1"/>
  <c r="B278" i="1"/>
  <c r="C278" i="1"/>
  <c r="D278" i="1"/>
  <c r="E278" i="1"/>
  <c r="A279" i="1"/>
  <c r="B279" i="1"/>
  <c r="C279" i="1"/>
  <c r="D279" i="1"/>
  <c r="E279" i="1"/>
  <c r="A280" i="1"/>
  <c r="B280" i="1"/>
  <c r="C280" i="1"/>
  <c r="D280" i="1"/>
  <c r="E280" i="1"/>
  <c r="A281" i="1"/>
  <c r="B281" i="1"/>
  <c r="C281" i="1"/>
  <c r="D281" i="1"/>
  <c r="E281" i="1"/>
  <c r="A282" i="1"/>
  <c r="B282" i="1"/>
  <c r="C282" i="1"/>
  <c r="D282" i="1"/>
  <c r="E282" i="1"/>
  <c r="A283" i="1"/>
  <c r="B283" i="1"/>
  <c r="C283" i="1"/>
  <c r="D283" i="1"/>
  <c r="E283" i="1"/>
  <c r="A284" i="1"/>
  <c r="B284" i="1"/>
  <c r="C284" i="1"/>
  <c r="D284" i="1"/>
  <c r="E284" i="1"/>
  <c r="A285" i="1"/>
  <c r="B285" i="1"/>
  <c r="C285" i="1"/>
  <c r="D285" i="1"/>
  <c r="E285" i="1"/>
  <c r="A286" i="1"/>
  <c r="B286" i="1"/>
  <c r="C286" i="1"/>
  <c r="D286" i="1"/>
  <c r="E286" i="1"/>
  <c r="A287" i="1"/>
  <c r="B287" i="1"/>
  <c r="C287" i="1"/>
  <c r="D287" i="1"/>
  <c r="E287" i="1"/>
  <c r="A288" i="1"/>
  <c r="B288" i="1"/>
  <c r="C288" i="1"/>
  <c r="D288" i="1"/>
  <c r="E288" i="1"/>
  <c r="A289" i="1"/>
  <c r="B289" i="1"/>
  <c r="C289" i="1"/>
  <c r="D289" i="1"/>
  <c r="E289" i="1"/>
  <c r="A290" i="1"/>
  <c r="B290" i="1"/>
  <c r="C290" i="1"/>
  <c r="D290" i="1"/>
  <c r="E290" i="1"/>
  <c r="A291" i="1"/>
  <c r="B291" i="1"/>
  <c r="C291" i="1"/>
  <c r="D291" i="1"/>
  <c r="E291" i="1"/>
  <c r="A292" i="1"/>
  <c r="B292" i="1"/>
  <c r="C292" i="1"/>
  <c r="D292" i="1"/>
  <c r="E292" i="1"/>
  <c r="A293" i="1"/>
  <c r="B293" i="1"/>
  <c r="C293" i="1"/>
  <c r="D293" i="1"/>
  <c r="E293" i="1"/>
  <c r="A294" i="1"/>
  <c r="B294" i="1"/>
  <c r="C294" i="1"/>
  <c r="D294" i="1"/>
  <c r="E294" i="1"/>
  <c r="A295" i="1"/>
  <c r="B295" i="1"/>
  <c r="C295" i="1"/>
  <c r="D295" i="1"/>
  <c r="E295" i="1"/>
  <c r="A296" i="1"/>
  <c r="B296" i="1"/>
  <c r="C296" i="1"/>
  <c r="D296" i="1"/>
  <c r="E296" i="1"/>
  <c r="A297" i="1"/>
  <c r="B297" i="1"/>
  <c r="C297" i="1"/>
  <c r="D297" i="1"/>
  <c r="E297" i="1"/>
  <c r="A298" i="1"/>
  <c r="B298" i="1"/>
  <c r="C298" i="1"/>
  <c r="D298" i="1"/>
  <c r="E298" i="1"/>
  <c r="A299" i="1"/>
  <c r="B299" i="1"/>
  <c r="C299" i="1"/>
  <c r="D299" i="1"/>
  <c r="E299" i="1"/>
  <c r="A300" i="1"/>
  <c r="B300" i="1"/>
  <c r="C300" i="1"/>
  <c r="D300" i="1"/>
  <c r="E300" i="1"/>
  <c r="A301" i="1"/>
  <c r="B301" i="1"/>
  <c r="C301" i="1"/>
  <c r="D301" i="1"/>
  <c r="E301" i="1"/>
  <c r="A302" i="1"/>
  <c r="B302" i="1"/>
  <c r="C302" i="1"/>
  <c r="D302" i="1"/>
  <c r="E302" i="1"/>
  <c r="A303" i="1"/>
  <c r="B303" i="1"/>
  <c r="C303" i="1"/>
  <c r="D303" i="1"/>
  <c r="E303" i="1"/>
  <c r="A304" i="1"/>
  <c r="B304" i="1"/>
  <c r="C304" i="1"/>
  <c r="D304" i="1"/>
  <c r="E304" i="1"/>
  <c r="A305" i="1"/>
  <c r="B305" i="1"/>
  <c r="C305" i="1"/>
  <c r="D305" i="1"/>
  <c r="E305" i="1"/>
  <c r="A306" i="1"/>
  <c r="B306" i="1"/>
  <c r="C306" i="1"/>
  <c r="D306" i="1"/>
  <c r="E306" i="1"/>
  <c r="A307" i="1"/>
  <c r="B307" i="1"/>
  <c r="C307" i="1"/>
  <c r="D307" i="1"/>
  <c r="E307" i="1"/>
  <c r="A308" i="1"/>
  <c r="B308" i="1"/>
  <c r="C308" i="1"/>
  <c r="D308" i="1"/>
  <c r="E308" i="1"/>
  <c r="A309" i="1"/>
  <c r="B309" i="1"/>
  <c r="C309" i="1"/>
  <c r="D309" i="1"/>
  <c r="E309" i="1"/>
  <c r="A310" i="1"/>
  <c r="B310" i="1"/>
  <c r="C310" i="1"/>
  <c r="D310" i="1"/>
  <c r="E310" i="1"/>
  <c r="A311" i="1"/>
  <c r="B311" i="1"/>
  <c r="C311" i="1"/>
  <c r="D311" i="1"/>
  <c r="E311" i="1"/>
  <c r="A312" i="1"/>
  <c r="B312" i="1"/>
  <c r="C312" i="1"/>
  <c r="D312" i="1"/>
  <c r="E312" i="1"/>
  <c r="A313" i="1"/>
  <c r="B313" i="1"/>
  <c r="C313" i="1"/>
  <c r="D313" i="1"/>
  <c r="E313" i="1"/>
  <c r="A314" i="1"/>
  <c r="B314" i="1"/>
  <c r="C314" i="1"/>
  <c r="D314" i="1"/>
  <c r="E314" i="1"/>
  <c r="A315" i="1"/>
  <c r="B315" i="1"/>
  <c r="C315" i="1"/>
  <c r="D315" i="1"/>
  <c r="E315" i="1"/>
  <c r="A316" i="1"/>
  <c r="B316" i="1"/>
  <c r="C316" i="1"/>
  <c r="D316" i="1"/>
  <c r="E316" i="1"/>
  <c r="A317" i="1"/>
  <c r="B317" i="1"/>
  <c r="C317" i="1"/>
  <c r="D317" i="1"/>
  <c r="E317" i="1"/>
  <c r="A318" i="1"/>
  <c r="B318" i="1"/>
  <c r="C318" i="1"/>
  <c r="D318" i="1"/>
  <c r="E318" i="1"/>
  <c r="A319" i="1"/>
  <c r="B319" i="1"/>
  <c r="C319" i="1"/>
  <c r="D319" i="1"/>
  <c r="E319" i="1"/>
  <c r="A320" i="1"/>
  <c r="B320" i="1"/>
  <c r="C320" i="1"/>
  <c r="D320" i="1"/>
  <c r="E320" i="1"/>
  <c r="A321" i="1"/>
  <c r="B321" i="1"/>
  <c r="C321" i="1"/>
  <c r="D321" i="1"/>
  <c r="E321" i="1"/>
  <c r="A322" i="1"/>
  <c r="B322" i="1"/>
  <c r="C322" i="1"/>
  <c r="D322" i="1"/>
  <c r="E322" i="1"/>
  <c r="A323" i="1"/>
  <c r="B323" i="1"/>
  <c r="C323" i="1"/>
  <c r="D323" i="1"/>
  <c r="E323" i="1"/>
  <c r="A324" i="1"/>
  <c r="B324" i="1"/>
  <c r="C324" i="1"/>
  <c r="D324" i="1"/>
  <c r="E324" i="1"/>
  <c r="A325" i="1"/>
  <c r="B325" i="1"/>
  <c r="C325" i="1"/>
  <c r="D325" i="1"/>
  <c r="E325" i="1"/>
  <c r="A326" i="1"/>
  <c r="B326" i="1"/>
  <c r="C326" i="1"/>
  <c r="D326" i="1"/>
  <c r="E326" i="1"/>
  <c r="A327" i="1"/>
  <c r="B327" i="1"/>
  <c r="C327" i="1"/>
  <c r="D327" i="1"/>
  <c r="E327" i="1"/>
  <c r="A328" i="1"/>
  <c r="B328" i="1"/>
  <c r="C328" i="1"/>
  <c r="D328" i="1"/>
  <c r="E328" i="1"/>
  <c r="A329" i="1"/>
  <c r="B329" i="1"/>
  <c r="C329" i="1"/>
  <c r="D329" i="1"/>
  <c r="E329" i="1"/>
  <c r="A330" i="1"/>
  <c r="B330" i="1"/>
  <c r="C330" i="1"/>
  <c r="D330" i="1"/>
  <c r="E330" i="1"/>
  <c r="A331" i="1"/>
  <c r="B331" i="1"/>
  <c r="C331" i="1"/>
  <c r="D331" i="1"/>
  <c r="E331" i="1"/>
  <c r="A332" i="1"/>
  <c r="B332" i="1"/>
  <c r="C332" i="1"/>
  <c r="D332" i="1"/>
  <c r="E332" i="1"/>
  <c r="A333" i="1"/>
  <c r="B333" i="1"/>
  <c r="C333" i="1"/>
  <c r="D333" i="1"/>
  <c r="E333" i="1"/>
  <c r="A334" i="1"/>
  <c r="B334" i="1"/>
  <c r="C334" i="1"/>
  <c r="D334" i="1"/>
  <c r="E334" i="1"/>
  <c r="A335" i="1"/>
  <c r="B335" i="1"/>
  <c r="C335" i="1"/>
  <c r="D335" i="1"/>
  <c r="E335" i="1"/>
  <c r="A336" i="1"/>
  <c r="B336" i="1"/>
  <c r="C336" i="1"/>
  <c r="D336" i="1"/>
  <c r="E336" i="1"/>
  <c r="A337" i="1"/>
  <c r="B337" i="1"/>
  <c r="C337" i="1"/>
  <c r="D337" i="1"/>
  <c r="E337" i="1"/>
  <c r="A338" i="1"/>
  <c r="B338" i="1"/>
  <c r="C338" i="1"/>
  <c r="D338" i="1"/>
  <c r="E338" i="1"/>
  <c r="A339" i="1"/>
  <c r="B339" i="1"/>
  <c r="C339" i="1"/>
  <c r="D339" i="1"/>
  <c r="E339" i="1"/>
  <c r="A340" i="1"/>
  <c r="B340" i="1"/>
  <c r="C340" i="1"/>
  <c r="D340" i="1"/>
  <c r="E340" i="1"/>
  <c r="A341" i="1"/>
  <c r="B341" i="1"/>
  <c r="C341" i="1"/>
  <c r="D341" i="1"/>
  <c r="E341" i="1"/>
  <c r="A342" i="1"/>
  <c r="B342" i="1"/>
  <c r="C342" i="1"/>
  <c r="D342" i="1"/>
  <c r="E342" i="1"/>
  <c r="A343" i="1"/>
  <c r="B343" i="1"/>
  <c r="C343" i="1"/>
  <c r="D343" i="1"/>
  <c r="E343" i="1"/>
  <c r="A344" i="1"/>
  <c r="B344" i="1"/>
  <c r="C344" i="1"/>
  <c r="D344" i="1"/>
  <c r="E344" i="1"/>
  <c r="A345" i="1"/>
  <c r="B345" i="1"/>
  <c r="C345" i="1"/>
  <c r="D345" i="1"/>
  <c r="E345" i="1"/>
  <c r="A346" i="1"/>
  <c r="B346" i="1"/>
  <c r="C346" i="1"/>
  <c r="D346" i="1"/>
  <c r="E346" i="1"/>
  <c r="A347" i="1"/>
  <c r="B347" i="1"/>
  <c r="C347" i="1"/>
  <c r="D347" i="1"/>
  <c r="E347" i="1"/>
  <c r="A348" i="1"/>
  <c r="B348" i="1"/>
  <c r="C348" i="1"/>
  <c r="D348" i="1"/>
  <c r="E348" i="1"/>
  <c r="A349" i="1"/>
  <c r="B349" i="1"/>
  <c r="C349" i="1"/>
  <c r="D349" i="1"/>
  <c r="E349" i="1"/>
  <c r="A350" i="1"/>
  <c r="B350" i="1"/>
  <c r="C350" i="1"/>
  <c r="D350" i="1"/>
  <c r="E350" i="1"/>
  <c r="A351" i="1"/>
  <c r="B351" i="1"/>
  <c r="C351" i="1"/>
  <c r="D351" i="1"/>
  <c r="E351" i="1"/>
  <c r="A352" i="1"/>
  <c r="B352" i="1"/>
  <c r="C352" i="1"/>
  <c r="D352" i="1"/>
  <c r="E352" i="1"/>
  <c r="A353" i="1"/>
  <c r="B353" i="1"/>
  <c r="C353" i="1"/>
  <c r="D353" i="1"/>
  <c r="E353" i="1"/>
  <c r="A354" i="1"/>
  <c r="B354" i="1"/>
  <c r="C354" i="1"/>
  <c r="D354" i="1"/>
  <c r="E354" i="1"/>
  <c r="A355" i="1"/>
  <c r="B355" i="1"/>
  <c r="C355" i="1"/>
  <c r="D355" i="1"/>
  <c r="E355" i="1"/>
  <c r="A356" i="1"/>
  <c r="B356" i="1"/>
  <c r="C356" i="1"/>
  <c r="D356" i="1"/>
  <c r="E356" i="1"/>
  <c r="A357" i="1"/>
  <c r="B357" i="1"/>
  <c r="C357" i="1"/>
  <c r="D357" i="1"/>
  <c r="E357" i="1"/>
  <c r="A358" i="1"/>
  <c r="B358" i="1"/>
  <c r="C358" i="1"/>
  <c r="D358" i="1"/>
  <c r="E358" i="1"/>
  <c r="A359" i="1"/>
  <c r="B359" i="1"/>
  <c r="C359" i="1"/>
  <c r="D359" i="1"/>
  <c r="E359" i="1"/>
  <c r="A360" i="1"/>
  <c r="B360" i="1"/>
  <c r="C360" i="1"/>
  <c r="D360" i="1"/>
  <c r="E360" i="1"/>
  <c r="A361" i="1"/>
  <c r="B361" i="1"/>
  <c r="C361" i="1"/>
  <c r="D361" i="1"/>
  <c r="E361" i="1"/>
  <c r="A362" i="1"/>
  <c r="B362" i="1"/>
  <c r="C362" i="1"/>
  <c r="D362" i="1"/>
  <c r="E362" i="1"/>
  <c r="A363" i="1"/>
  <c r="B363" i="1"/>
  <c r="C363" i="1"/>
  <c r="D363" i="1"/>
  <c r="E363" i="1"/>
  <c r="A364" i="1"/>
  <c r="B364" i="1"/>
  <c r="C364" i="1"/>
  <c r="D364" i="1"/>
  <c r="E364" i="1"/>
  <c r="A365" i="1"/>
  <c r="B365" i="1"/>
  <c r="C365" i="1"/>
  <c r="D365" i="1"/>
  <c r="E365" i="1"/>
  <c r="A366" i="1"/>
  <c r="B366" i="1"/>
  <c r="C366" i="1"/>
  <c r="D366" i="1"/>
  <c r="E366" i="1"/>
  <c r="A367" i="1"/>
  <c r="B367" i="1"/>
  <c r="C367" i="1"/>
  <c r="D367" i="1"/>
  <c r="E367" i="1"/>
  <c r="A368" i="1"/>
  <c r="B368" i="1"/>
  <c r="C368" i="1"/>
  <c r="D368" i="1"/>
  <c r="E368" i="1"/>
  <c r="A369" i="1"/>
  <c r="B369" i="1"/>
  <c r="C369" i="1"/>
  <c r="D369" i="1"/>
  <c r="E369" i="1"/>
  <c r="A370" i="1"/>
  <c r="B370" i="1"/>
  <c r="C370" i="1"/>
  <c r="D370" i="1"/>
  <c r="E370" i="1"/>
  <c r="A371" i="1"/>
  <c r="B371" i="1"/>
  <c r="C371" i="1"/>
  <c r="D371" i="1"/>
  <c r="E371" i="1"/>
  <c r="A372" i="1"/>
  <c r="B372" i="1"/>
  <c r="C372" i="1"/>
  <c r="D372" i="1"/>
  <c r="E372" i="1"/>
  <c r="A373" i="1"/>
  <c r="B373" i="1"/>
  <c r="C373" i="1"/>
  <c r="D373" i="1"/>
  <c r="E373" i="1"/>
  <c r="A374" i="1"/>
  <c r="B374" i="1"/>
  <c r="C374" i="1"/>
  <c r="D374" i="1"/>
  <c r="E374" i="1"/>
  <c r="A375" i="1"/>
  <c r="B375" i="1"/>
  <c r="C375" i="1"/>
  <c r="D375" i="1"/>
  <c r="E375" i="1"/>
  <c r="A376" i="1"/>
  <c r="B376" i="1"/>
  <c r="C376" i="1"/>
  <c r="D376" i="1"/>
  <c r="E376" i="1"/>
  <c r="A377" i="1"/>
  <c r="B377" i="1"/>
  <c r="C377" i="1"/>
  <c r="D377" i="1"/>
  <c r="E377" i="1"/>
  <c r="A378" i="1"/>
  <c r="B378" i="1"/>
  <c r="C378" i="1"/>
  <c r="D378" i="1"/>
  <c r="E378" i="1"/>
  <c r="A379" i="1"/>
  <c r="B379" i="1"/>
  <c r="C379" i="1"/>
  <c r="D379" i="1"/>
  <c r="E379" i="1"/>
  <c r="A380" i="1"/>
  <c r="B380" i="1"/>
  <c r="C380" i="1"/>
  <c r="D380" i="1"/>
  <c r="E380" i="1"/>
  <c r="A381" i="1"/>
  <c r="B381" i="1"/>
  <c r="C381" i="1"/>
  <c r="D381" i="1"/>
  <c r="E381" i="1"/>
  <c r="A382" i="1"/>
  <c r="B382" i="1"/>
  <c r="C382" i="1"/>
  <c r="D382" i="1"/>
  <c r="E382" i="1"/>
  <c r="A383" i="1"/>
  <c r="B383" i="1"/>
  <c r="C383" i="1"/>
  <c r="D383" i="1"/>
  <c r="E383" i="1"/>
  <c r="A384" i="1"/>
  <c r="B384" i="1"/>
  <c r="C384" i="1"/>
  <c r="D384" i="1"/>
  <c r="E384" i="1"/>
  <c r="A385" i="1"/>
  <c r="B385" i="1"/>
  <c r="C385" i="1"/>
  <c r="D385" i="1"/>
  <c r="E385" i="1"/>
  <c r="A386" i="1"/>
  <c r="B386" i="1"/>
  <c r="C386" i="1"/>
  <c r="D386" i="1"/>
  <c r="E386" i="1"/>
  <c r="A387" i="1"/>
  <c r="B387" i="1"/>
  <c r="C387" i="1"/>
  <c r="D387" i="1"/>
  <c r="E387" i="1"/>
  <c r="A388" i="1"/>
  <c r="B388" i="1"/>
  <c r="C388" i="1"/>
  <c r="D388" i="1"/>
  <c r="E388" i="1"/>
  <c r="A389" i="1"/>
  <c r="B389" i="1"/>
  <c r="C389" i="1"/>
  <c r="D389" i="1"/>
  <c r="E389" i="1"/>
  <c r="A390" i="1"/>
  <c r="B390" i="1"/>
  <c r="C390" i="1"/>
  <c r="D390" i="1"/>
  <c r="E390" i="1"/>
  <c r="A391" i="1"/>
  <c r="B391" i="1"/>
  <c r="C391" i="1"/>
  <c r="D391" i="1"/>
  <c r="E391" i="1"/>
  <c r="A392" i="1"/>
  <c r="B392" i="1"/>
  <c r="C392" i="1"/>
  <c r="D392" i="1"/>
  <c r="E392" i="1"/>
  <c r="A393" i="1"/>
  <c r="B393" i="1"/>
  <c r="C393" i="1"/>
  <c r="D393" i="1"/>
  <c r="E393" i="1"/>
  <c r="A394" i="1"/>
  <c r="B394" i="1"/>
  <c r="C394" i="1"/>
  <c r="D394" i="1"/>
  <c r="E394" i="1"/>
  <c r="A395" i="1"/>
  <c r="B395" i="1"/>
  <c r="C395" i="1"/>
  <c r="D395" i="1"/>
  <c r="E395" i="1"/>
  <c r="A396" i="1"/>
  <c r="B396" i="1"/>
  <c r="C396" i="1"/>
  <c r="D396" i="1"/>
  <c r="E396" i="1"/>
  <c r="A397" i="1"/>
  <c r="B397" i="1"/>
  <c r="C397" i="1"/>
  <c r="D397" i="1"/>
  <c r="E397" i="1"/>
  <c r="A398" i="1"/>
  <c r="B398" i="1"/>
  <c r="C398" i="1"/>
  <c r="D398" i="1"/>
  <c r="E398" i="1"/>
  <c r="A399" i="1"/>
  <c r="B399" i="1"/>
  <c r="C399" i="1"/>
  <c r="D399" i="1"/>
  <c r="E399" i="1"/>
  <c r="A400" i="1"/>
  <c r="B400" i="1"/>
  <c r="C400" i="1"/>
  <c r="D400" i="1"/>
  <c r="E400" i="1"/>
  <c r="A401" i="1"/>
  <c r="B401" i="1"/>
  <c r="C401" i="1"/>
  <c r="D401" i="1"/>
  <c r="E401" i="1"/>
  <c r="A402" i="1"/>
  <c r="B402" i="1"/>
  <c r="C402" i="1"/>
  <c r="D402" i="1"/>
  <c r="E402" i="1"/>
  <c r="A403" i="1"/>
  <c r="B403" i="1"/>
  <c r="C403" i="1"/>
  <c r="D403" i="1"/>
  <c r="E403" i="1"/>
  <c r="A404" i="1"/>
  <c r="B404" i="1"/>
  <c r="C404" i="1"/>
  <c r="D404" i="1"/>
  <c r="E404" i="1"/>
  <c r="A405" i="1"/>
  <c r="B405" i="1"/>
  <c r="C405" i="1"/>
  <c r="D405" i="1"/>
  <c r="E405" i="1"/>
  <c r="A406" i="1"/>
  <c r="B406" i="1"/>
  <c r="C406" i="1"/>
  <c r="D406" i="1"/>
  <c r="E406" i="1"/>
  <c r="A407" i="1"/>
  <c r="B407" i="1"/>
  <c r="C407" i="1"/>
  <c r="D407" i="1"/>
  <c r="E407" i="1"/>
  <c r="A408" i="1"/>
  <c r="B408" i="1"/>
  <c r="C408" i="1"/>
  <c r="D408" i="1"/>
  <c r="E408" i="1"/>
  <c r="A409" i="1"/>
  <c r="B409" i="1"/>
  <c r="C409" i="1"/>
  <c r="D409" i="1"/>
  <c r="E409" i="1"/>
  <c r="A410" i="1"/>
  <c r="B410" i="1"/>
  <c r="C410" i="1"/>
  <c r="D410" i="1"/>
  <c r="E410" i="1"/>
  <c r="A411" i="1"/>
  <c r="B411" i="1"/>
  <c r="C411" i="1"/>
  <c r="D411" i="1"/>
  <c r="E411" i="1"/>
  <c r="A412" i="1"/>
  <c r="B412" i="1"/>
  <c r="C412" i="1"/>
  <c r="D412" i="1"/>
  <c r="E412" i="1"/>
  <c r="A413" i="1"/>
  <c r="B413" i="1"/>
  <c r="C413" i="1"/>
  <c r="D413" i="1"/>
  <c r="E413" i="1"/>
  <c r="A414" i="1"/>
  <c r="B414" i="1"/>
  <c r="C414" i="1"/>
  <c r="D414" i="1"/>
  <c r="E414" i="1"/>
  <c r="A415" i="1"/>
  <c r="B415" i="1"/>
  <c r="C415" i="1"/>
  <c r="D415" i="1"/>
  <c r="E415" i="1"/>
  <c r="A416" i="1"/>
  <c r="B416" i="1"/>
  <c r="C416" i="1"/>
  <c r="D416" i="1"/>
  <c r="E416" i="1"/>
  <c r="A417" i="1"/>
  <c r="B417" i="1"/>
  <c r="C417" i="1"/>
  <c r="D417" i="1"/>
  <c r="E417" i="1"/>
  <c r="A418" i="1"/>
  <c r="B418" i="1"/>
  <c r="C418" i="1"/>
  <c r="D418" i="1"/>
  <c r="E418" i="1"/>
  <c r="A419" i="1"/>
  <c r="B419" i="1"/>
  <c r="C419" i="1"/>
  <c r="D419" i="1"/>
  <c r="E419" i="1"/>
  <c r="A420" i="1"/>
  <c r="B420" i="1"/>
  <c r="C420" i="1"/>
  <c r="D420" i="1"/>
  <c r="E420" i="1"/>
  <c r="A421" i="1"/>
  <c r="B421" i="1"/>
  <c r="C421" i="1"/>
  <c r="D421" i="1"/>
  <c r="E421" i="1"/>
  <c r="A422" i="1"/>
  <c r="B422" i="1"/>
  <c r="C422" i="1"/>
  <c r="D422" i="1"/>
  <c r="E422" i="1"/>
  <c r="A423" i="1"/>
  <c r="B423" i="1"/>
  <c r="C423" i="1"/>
  <c r="D423" i="1"/>
  <c r="E423" i="1"/>
  <c r="A424" i="1"/>
  <c r="B424" i="1"/>
  <c r="C424" i="1"/>
  <c r="D424" i="1"/>
  <c r="E424" i="1"/>
  <c r="A425" i="1"/>
  <c r="B425" i="1"/>
  <c r="C425" i="1"/>
  <c r="D425" i="1"/>
  <c r="E425" i="1"/>
  <c r="A426" i="1"/>
  <c r="B426" i="1"/>
  <c r="C426" i="1"/>
  <c r="D426" i="1"/>
  <c r="E426" i="1"/>
  <c r="A427" i="1"/>
  <c r="B427" i="1"/>
  <c r="C427" i="1"/>
  <c r="D427" i="1"/>
  <c r="E427" i="1"/>
  <c r="A428" i="1"/>
  <c r="B428" i="1"/>
  <c r="C428" i="1"/>
  <c r="D428" i="1"/>
  <c r="E428" i="1"/>
  <c r="A429" i="1"/>
  <c r="B429" i="1"/>
  <c r="C429" i="1"/>
  <c r="D429" i="1"/>
  <c r="E429" i="1"/>
  <c r="A430" i="1"/>
  <c r="B430" i="1"/>
  <c r="C430" i="1"/>
  <c r="D430" i="1"/>
  <c r="E430" i="1"/>
  <c r="A431" i="1"/>
  <c r="B431" i="1"/>
  <c r="C431" i="1"/>
  <c r="D431" i="1"/>
  <c r="E431" i="1"/>
  <c r="A432" i="1"/>
  <c r="B432" i="1"/>
  <c r="C432" i="1"/>
  <c r="D432" i="1"/>
  <c r="E432" i="1"/>
  <c r="A433" i="1"/>
  <c r="B433" i="1"/>
  <c r="C433" i="1"/>
  <c r="D433" i="1"/>
  <c r="E433" i="1"/>
  <c r="A434" i="1"/>
  <c r="B434" i="1"/>
  <c r="C434" i="1"/>
  <c r="D434" i="1"/>
  <c r="E434" i="1"/>
  <c r="A435" i="1"/>
  <c r="B435" i="1"/>
  <c r="C435" i="1"/>
  <c r="D435" i="1"/>
  <c r="E435" i="1"/>
  <c r="A436" i="1"/>
  <c r="B436" i="1"/>
  <c r="C436" i="1"/>
  <c r="D436" i="1"/>
  <c r="E436" i="1"/>
  <c r="A437" i="1"/>
  <c r="B437" i="1"/>
  <c r="C437" i="1"/>
  <c r="D437" i="1"/>
  <c r="E437" i="1"/>
  <c r="A438" i="1"/>
  <c r="B438" i="1"/>
  <c r="C438" i="1"/>
  <c r="D438" i="1"/>
  <c r="E438" i="1"/>
  <c r="A439" i="1"/>
  <c r="B439" i="1"/>
  <c r="C439" i="1"/>
  <c r="D439" i="1"/>
  <c r="E439" i="1"/>
  <c r="A440" i="1"/>
  <c r="B440" i="1"/>
  <c r="C440" i="1"/>
  <c r="D440" i="1"/>
  <c r="E440" i="1"/>
  <c r="A441" i="1"/>
  <c r="B441" i="1"/>
  <c r="C441" i="1"/>
  <c r="D441" i="1"/>
  <c r="E441" i="1"/>
  <c r="A442" i="1"/>
  <c r="B442" i="1"/>
  <c r="C442" i="1"/>
  <c r="D442" i="1"/>
  <c r="E442" i="1"/>
  <c r="A443" i="1"/>
  <c r="B443" i="1"/>
  <c r="C443" i="1"/>
  <c r="D443" i="1"/>
  <c r="E443" i="1"/>
  <c r="A444" i="1"/>
  <c r="B444" i="1"/>
  <c r="C444" i="1"/>
  <c r="D444" i="1"/>
  <c r="E444" i="1"/>
  <c r="A445" i="1"/>
  <c r="B445" i="1"/>
  <c r="C445" i="1"/>
  <c r="D445" i="1"/>
  <c r="E445" i="1"/>
  <c r="A446" i="1"/>
  <c r="B446" i="1"/>
  <c r="C446" i="1"/>
  <c r="D446" i="1"/>
  <c r="E446" i="1"/>
  <c r="A447" i="1"/>
  <c r="B447" i="1"/>
  <c r="C447" i="1"/>
  <c r="D447" i="1"/>
  <c r="E447" i="1"/>
  <c r="A448" i="1"/>
  <c r="B448" i="1"/>
  <c r="C448" i="1"/>
  <c r="D448" i="1"/>
  <c r="E448" i="1"/>
  <c r="A449" i="1"/>
  <c r="B449" i="1"/>
  <c r="C449" i="1"/>
  <c r="D449" i="1"/>
  <c r="E449" i="1"/>
  <c r="A450" i="1"/>
  <c r="B450" i="1"/>
  <c r="C450" i="1"/>
  <c r="D450" i="1"/>
  <c r="E450" i="1"/>
  <c r="A451" i="1"/>
  <c r="B451" i="1"/>
  <c r="C451" i="1"/>
  <c r="D451" i="1"/>
  <c r="E451" i="1"/>
  <c r="A452" i="1"/>
  <c r="B452" i="1"/>
  <c r="C452" i="1"/>
  <c r="D452" i="1"/>
  <c r="E452" i="1"/>
  <c r="A453" i="1"/>
  <c r="B453" i="1"/>
  <c r="C453" i="1"/>
  <c r="D453" i="1"/>
  <c r="E453" i="1"/>
  <c r="A454" i="1"/>
  <c r="B454" i="1"/>
  <c r="C454" i="1"/>
  <c r="D454" i="1"/>
  <c r="E454" i="1"/>
  <c r="A455" i="1"/>
  <c r="B455" i="1"/>
  <c r="C455" i="1"/>
  <c r="D455" i="1"/>
  <c r="E455" i="1"/>
  <c r="A456" i="1"/>
  <c r="B456" i="1"/>
  <c r="C456" i="1"/>
  <c r="D456" i="1"/>
  <c r="E456" i="1"/>
  <c r="A457" i="1"/>
  <c r="B457" i="1"/>
  <c r="C457" i="1"/>
  <c r="D457" i="1"/>
  <c r="E457" i="1"/>
  <c r="A458" i="1"/>
  <c r="B458" i="1"/>
  <c r="C458" i="1"/>
  <c r="D458" i="1"/>
  <c r="E458" i="1"/>
  <c r="A459" i="1"/>
  <c r="B459" i="1"/>
  <c r="C459" i="1"/>
  <c r="D459" i="1"/>
  <c r="E459" i="1"/>
  <c r="A460" i="1"/>
  <c r="B460" i="1"/>
  <c r="C460" i="1"/>
  <c r="D460" i="1"/>
  <c r="E460" i="1"/>
  <c r="A461" i="1"/>
  <c r="B461" i="1"/>
  <c r="C461" i="1"/>
  <c r="D461" i="1"/>
  <c r="E461" i="1"/>
  <c r="A462" i="1"/>
  <c r="B462" i="1"/>
  <c r="C462" i="1"/>
  <c r="D462" i="1"/>
  <c r="E462" i="1"/>
  <c r="A463" i="1"/>
  <c r="B463" i="1"/>
  <c r="C463" i="1"/>
  <c r="D463" i="1"/>
  <c r="E463" i="1"/>
  <c r="A464" i="1"/>
  <c r="B464" i="1"/>
  <c r="C464" i="1"/>
  <c r="D464" i="1"/>
  <c r="E464" i="1"/>
  <c r="A465" i="1"/>
  <c r="B465" i="1"/>
  <c r="C465" i="1"/>
  <c r="D465" i="1"/>
  <c r="E465" i="1"/>
  <c r="A466" i="1"/>
  <c r="B466" i="1"/>
  <c r="C466" i="1"/>
  <c r="D466" i="1"/>
  <c r="E466" i="1"/>
  <c r="A467" i="1"/>
  <c r="B467" i="1"/>
  <c r="C467" i="1"/>
  <c r="D467" i="1"/>
  <c r="E467" i="1"/>
  <c r="A468" i="1"/>
  <c r="B468" i="1"/>
  <c r="C468" i="1"/>
  <c r="D468" i="1"/>
  <c r="E468" i="1"/>
  <c r="A469" i="1"/>
  <c r="B469" i="1"/>
  <c r="C469" i="1"/>
  <c r="D469" i="1"/>
  <c r="E469" i="1"/>
  <c r="A470" i="1"/>
  <c r="B470" i="1"/>
  <c r="C470" i="1"/>
  <c r="D470" i="1"/>
  <c r="E470" i="1"/>
  <c r="A471" i="1"/>
  <c r="B471" i="1"/>
  <c r="C471" i="1"/>
  <c r="D471" i="1"/>
  <c r="E471" i="1"/>
  <c r="A472" i="1"/>
  <c r="B472" i="1"/>
  <c r="C472" i="1"/>
  <c r="D472" i="1"/>
  <c r="E472" i="1"/>
  <c r="A473" i="1"/>
  <c r="B473" i="1"/>
  <c r="C473" i="1"/>
  <c r="D473" i="1"/>
  <c r="E473" i="1"/>
  <c r="A474" i="1"/>
  <c r="B474" i="1"/>
  <c r="C474" i="1"/>
  <c r="D474" i="1"/>
  <c r="E474" i="1"/>
  <c r="A475" i="1"/>
  <c r="B475" i="1"/>
  <c r="C475" i="1"/>
  <c r="D475" i="1"/>
  <c r="E475" i="1"/>
  <c r="A476" i="1"/>
  <c r="B476" i="1"/>
  <c r="C476" i="1"/>
  <c r="D476" i="1"/>
  <c r="E476" i="1"/>
  <c r="A477" i="1"/>
  <c r="B477" i="1"/>
  <c r="C477" i="1"/>
  <c r="D477" i="1"/>
  <c r="E477" i="1"/>
  <c r="A478" i="1"/>
  <c r="B478" i="1"/>
  <c r="C478" i="1"/>
  <c r="D478" i="1"/>
  <c r="E478" i="1"/>
  <c r="A479" i="1"/>
  <c r="B479" i="1"/>
  <c r="C479" i="1"/>
  <c r="D479" i="1"/>
  <c r="E479" i="1"/>
  <c r="A480" i="1"/>
  <c r="B480" i="1"/>
  <c r="C480" i="1"/>
  <c r="D480" i="1"/>
  <c r="E480" i="1"/>
  <c r="A481" i="1"/>
  <c r="B481" i="1"/>
  <c r="C481" i="1"/>
  <c r="D481" i="1"/>
  <c r="E481" i="1"/>
  <c r="A482" i="1"/>
  <c r="B482" i="1"/>
  <c r="C482" i="1"/>
  <c r="D482" i="1"/>
  <c r="E482" i="1"/>
  <c r="A483" i="1"/>
  <c r="B483" i="1"/>
  <c r="C483" i="1"/>
  <c r="D483" i="1"/>
  <c r="E483" i="1"/>
  <c r="A484" i="1"/>
  <c r="B484" i="1"/>
  <c r="C484" i="1"/>
  <c r="D484" i="1"/>
  <c r="E484" i="1"/>
  <c r="A485" i="1"/>
  <c r="B485" i="1"/>
  <c r="C485" i="1"/>
  <c r="D485" i="1"/>
  <c r="E485" i="1"/>
  <c r="A486" i="1"/>
  <c r="B486" i="1"/>
  <c r="C486" i="1"/>
  <c r="D486" i="1"/>
  <c r="E486" i="1"/>
  <c r="A487" i="1"/>
  <c r="B487" i="1"/>
  <c r="C487" i="1"/>
  <c r="D487" i="1"/>
  <c r="E487" i="1"/>
  <c r="A488" i="1"/>
  <c r="B488" i="1"/>
  <c r="C488" i="1"/>
  <c r="D488" i="1"/>
  <c r="E488" i="1"/>
  <c r="A489" i="1"/>
  <c r="B489" i="1"/>
  <c r="C489" i="1"/>
  <c r="D489" i="1"/>
  <c r="E489" i="1"/>
  <c r="A490" i="1"/>
  <c r="B490" i="1"/>
  <c r="C490" i="1"/>
  <c r="D490" i="1"/>
  <c r="E490" i="1"/>
  <c r="A491" i="1"/>
  <c r="B491" i="1"/>
  <c r="C491" i="1"/>
  <c r="D491" i="1"/>
  <c r="E491" i="1"/>
  <c r="A492" i="1"/>
  <c r="B492" i="1"/>
  <c r="C492" i="1"/>
  <c r="D492" i="1"/>
  <c r="E492" i="1"/>
  <c r="A493" i="1"/>
  <c r="B493" i="1"/>
  <c r="C493" i="1"/>
  <c r="D493" i="1"/>
  <c r="E493" i="1"/>
  <c r="A494" i="1"/>
  <c r="B494" i="1"/>
  <c r="C494" i="1"/>
  <c r="D494" i="1"/>
  <c r="E494" i="1"/>
  <c r="A495" i="1"/>
  <c r="B495" i="1"/>
  <c r="C495" i="1"/>
  <c r="D495" i="1"/>
  <c r="E495" i="1"/>
  <c r="A496" i="1"/>
  <c r="B496" i="1"/>
  <c r="C496" i="1"/>
  <c r="D496" i="1"/>
  <c r="E496" i="1"/>
  <c r="A497" i="1"/>
  <c r="B497" i="1"/>
  <c r="C497" i="1"/>
  <c r="D497" i="1"/>
  <c r="E497" i="1"/>
  <c r="A498" i="1"/>
  <c r="B498" i="1"/>
  <c r="C498" i="1"/>
  <c r="D498" i="1"/>
  <c r="E498" i="1"/>
  <c r="A499" i="1"/>
  <c r="B499" i="1"/>
  <c r="C499" i="1"/>
  <c r="D499" i="1"/>
  <c r="E499" i="1"/>
  <c r="A500" i="1"/>
  <c r="B500" i="1"/>
  <c r="C500" i="1"/>
  <c r="D500" i="1"/>
  <c r="E500" i="1"/>
  <c r="A501" i="1"/>
  <c r="B501" i="1"/>
  <c r="C501" i="1"/>
  <c r="D501" i="1"/>
  <c r="E501" i="1"/>
  <c r="A502" i="1"/>
  <c r="B502" i="1"/>
  <c r="C502" i="1"/>
  <c r="D502" i="1"/>
  <c r="E502" i="1"/>
  <c r="A503" i="1"/>
  <c r="B503" i="1"/>
  <c r="C503" i="1"/>
  <c r="D503" i="1"/>
  <c r="E503" i="1"/>
  <c r="A504" i="1"/>
  <c r="B504" i="1"/>
  <c r="C504" i="1"/>
  <c r="D504" i="1"/>
  <c r="E504" i="1"/>
  <c r="A505" i="1"/>
  <c r="B505" i="1"/>
  <c r="C505" i="1"/>
  <c r="D505" i="1"/>
  <c r="E505" i="1"/>
  <c r="A506" i="1"/>
  <c r="B506" i="1"/>
  <c r="C506" i="1"/>
  <c r="D506" i="1"/>
  <c r="E506" i="1"/>
  <c r="A507" i="1"/>
  <c r="B507" i="1"/>
  <c r="C507" i="1"/>
  <c r="D507" i="1"/>
  <c r="E507" i="1"/>
  <c r="A508" i="1"/>
  <c r="B508" i="1"/>
  <c r="C508" i="1"/>
  <c r="D508" i="1"/>
  <c r="E508" i="1"/>
  <c r="A509" i="1"/>
  <c r="B509" i="1"/>
  <c r="C509" i="1"/>
  <c r="D509" i="1"/>
  <c r="E509" i="1"/>
  <c r="A510" i="1"/>
  <c r="B510" i="1"/>
  <c r="C510" i="1"/>
  <c r="D510" i="1"/>
  <c r="E510" i="1"/>
  <c r="A511" i="1"/>
  <c r="B511" i="1"/>
  <c r="C511" i="1"/>
  <c r="D511" i="1"/>
  <c r="E511" i="1"/>
  <c r="A512" i="1"/>
  <c r="B512" i="1"/>
  <c r="C512" i="1"/>
  <c r="D512" i="1"/>
  <c r="E512" i="1"/>
  <c r="A513" i="1"/>
  <c r="B513" i="1"/>
  <c r="C513" i="1"/>
  <c r="D513" i="1"/>
  <c r="E513" i="1"/>
  <c r="A514" i="1"/>
  <c r="B514" i="1"/>
  <c r="C514" i="1"/>
  <c r="D514" i="1"/>
  <c r="E514" i="1"/>
  <c r="A515" i="1"/>
  <c r="B515" i="1"/>
  <c r="C515" i="1"/>
  <c r="D515" i="1"/>
  <c r="E515" i="1"/>
  <c r="A516" i="1"/>
  <c r="B516" i="1"/>
  <c r="C516" i="1"/>
  <c r="D516" i="1"/>
  <c r="E516" i="1"/>
  <c r="A517" i="1"/>
  <c r="B517" i="1"/>
  <c r="C517" i="1"/>
  <c r="D517" i="1"/>
  <c r="E517" i="1"/>
  <c r="A518" i="1"/>
  <c r="B518" i="1"/>
  <c r="C518" i="1"/>
  <c r="D518" i="1"/>
  <c r="E518" i="1"/>
  <c r="A519" i="1"/>
  <c r="B519" i="1"/>
  <c r="C519" i="1"/>
  <c r="D519" i="1"/>
  <c r="E519" i="1"/>
  <c r="A520" i="1"/>
  <c r="B520" i="1"/>
  <c r="C520" i="1"/>
  <c r="D520" i="1"/>
  <c r="E520" i="1"/>
  <c r="A521" i="1"/>
  <c r="B521" i="1"/>
  <c r="C521" i="1"/>
  <c r="D521" i="1"/>
  <c r="E521" i="1"/>
  <c r="A522" i="1"/>
  <c r="B522" i="1"/>
  <c r="C522" i="1"/>
  <c r="D522" i="1"/>
  <c r="E522" i="1"/>
  <c r="A523" i="1"/>
  <c r="B523" i="1"/>
  <c r="C523" i="1"/>
  <c r="D523" i="1"/>
  <c r="E523" i="1"/>
  <c r="A524" i="1"/>
  <c r="B524" i="1"/>
  <c r="C524" i="1"/>
  <c r="D524" i="1"/>
  <c r="E524" i="1"/>
  <c r="A525" i="1"/>
  <c r="B525" i="1"/>
  <c r="C525" i="1"/>
  <c r="D525" i="1"/>
  <c r="E525" i="1"/>
  <c r="A526" i="1"/>
  <c r="B526" i="1"/>
  <c r="C526" i="1"/>
  <c r="D526" i="1"/>
  <c r="E526" i="1"/>
  <c r="A527" i="1"/>
  <c r="B527" i="1"/>
  <c r="C527" i="1"/>
  <c r="D527" i="1"/>
  <c r="E527" i="1"/>
  <c r="A528" i="1"/>
  <c r="B528" i="1"/>
  <c r="C528" i="1"/>
  <c r="D528" i="1"/>
  <c r="E528" i="1"/>
  <c r="A529" i="1"/>
  <c r="B529" i="1"/>
  <c r="C529" i="1"/>
  <c r="D529" i="1"/>
  <c r="E529" i="1"/>
  <c r="A530" i="1"/>
  <c r="B530" i="1"/>
  <c r="C530" i="1"/>
  <c r="D530" i="1"/>
  <c r="E530" i="1"/>
  <c r="A531" i="1"/>
  <c r="B531" i="1"/>
  <c r="C531" i="1"/>
  <c r="D531" i="1"/>
  <c r="E531" i="1"/>
  <c r="A532" i="1"/>
  <c r="B532" i="1"/>
  <c r="C532" i="1"/>
  <c r="D532" i="1"/>
  <c r="E532" i="1"/>
  <c r="A533" i="1"/>
  <c r="B533" i="1"/>
  <c r="C533" i="1"/>
  <c r="D533" i="1"/>
  <c r="E533" i="1"/>
  <c r="A534" i="1"/>
  <c r="B534" i="1"/>
  <c r="C534" i="1"/>
  <c r="D534" i="1"/>
  <c r="E534" i="1"/>
  <c r="A535" i="1"/>
  <c r="B535" i="1"/>
  <c r="C535" i="1"/>
  <c r="D535" i="1"/>
  <c r="E535" i="1"/>
  <c r="A536" i="1"/>
  <c r="B536" i="1"/>
  <c r="C536" i="1"/>
  <c r="D536" i="1"/>
  <c r="E536" i="1"/>
  <c r="A537" i="1"/>
  <c r="B537" i="1"/>
  <c r="C537" i="1"/>
  <c r="D537" i="1"/>
  <c r="E537" i="1"/>
  <c r="A538" i="1"/>
  <c r="B538" i="1"/>
  <c r="C538" i="1"/>
  <c r="D538" i="1"/>
  <c r="E538" i="1"/>
  <c r="A539" i="1"/>
  <c r="B539" i="1"/>
  <c r="C539" i="1"/>
  <c r="D539" i="1"/>
  <c r="E539" i="1"/>
  <c r="A540" i="1"/>
  <c r="B540" i="1"/>
  <c r="C540" i="1"/>
  <c r="D540" i="1"/>
  <c r="E540" i="1"/>
  <c r="A541" i="1"/>
  <c r="B541" i="1"/>
  <c r="C541" i="1"/>
  <c r="D541" i="1"/>
  <c r="E541" i="1"/>
  <c r="A542" i="1"/>
  <c r="B542" i="1"/>
  <c r="C542" i="1"/>
  <c r="D542" i="1"/>
  <c r="E542" i="1"/>
  <c r="A543" i="1"/>
  <c r="B543" i="1"/>
  <c r="C543" i="1"/>
  <c r="D543" i="1"/>
  <c r="E543" i="1"/>
  <c r="A544" i="1"/>
  <c r="B544" i="1"/>
  <c r="C544" i="1"/>
  <c r="D544" i="1"/>
  <c r="E544" i="1"/>
  <c r="A545" i="1"/>
  <c r="B545" i="1"/>
  <c r="C545" i="1"/>
  <c r="D545" i="1"/>
  <c r="E545" i="1"/>
  <c r="A546" i="1"/>
  <c r="B546" i="1"/>
  <c r="C546" i="1"/>
  <c r="D546" i="1"/>
  <c r="E546" i="1"/>
  <c r="A547" i="1"/>
  <c r="B547" i="1"/>
  <c r="C547" i="1"/>
  <c r="D547" i="1"/>
  <c r="E547" i="1"/>
  <c r="A548" i="1"/>
  <c r="B548" i="1"/>
  <c r="C548" i="1"/>
  <c r="D548" i="1"/>
  <c r="E548" i="1"/>
  <c r="A549" i="1"/>
  <c r="B549" i="1"/>
  <c r="C549" i="1"/>
  <c r="D549" i="1"/>
  <c r="E549" i="1"/>
  <c r="A550" i="1"/>
  <c r="B550" i="1"/>
  <c r="C550" i="1"/>
  <c r="D550" i="1"/>
  <c r="E550" i="1"/>
  <c r="A551" i="1"/>
  <c r="B551" i="1"/>
  <c r="C551" i="1"/>
  <c r="D551" i="1"/>
  <c r="E551" i="1"/>
  <c r="A552" i="1"/>
  <c r="B552" i="1"/>
  <c r="C552" i="1"/>
  <c r="D552" i="1"/>
  <c r="E552" i="1"/>
  <c r="A553" i="1"/>
  <c r="B553" i="1"/>
  <c r="C553" i="1"/>
  <c r="D553" i="1"/>
  <c r="E553" i="1"/>
  <c r="A554" i="1"/>
  <c r="B554" i="1"/>
  <c r="C554" i="1"/>
  <c r="D554" i="1"/>
  <c r="E554" i="1"/>
  <c r="A555" i="1"/>
  <c r="B555" i="1"/>
  <c r="C555" i="1"/>
  <c r="D555" i="1"/>
  <c r="E555" i="1"/>
  <c r="A556" i="1"/>
  <c r="B556" i="1"/>
  <c r="C556" i="1"/>
  <c r="D556" i="1"/>
  <c r="E556" i="1"/>
  <c r="A557" i="1"/>
  <c r="B557" i="1"/>
  <c r="C557" i="1"/>
  <c r="D557" i="1"/>
  <c r="E557" i="1"/>
  <c r="A558" i="1"/>
  <c r="B558" i="1"/>
  <c r="C558" i="1"/>
  <c r="D558" i="1"/>
  <c r="E558" i="1"/>
  <c r="A559" i="1"/>
  <c r="B559" i="1"/>
  <c r="C559" i="1"/>
  <c r="D559" i="1"/>
  <c r="E559" i="1"/>
  <c r="A560" i="1"/>
  <c r="B560" i="1"/>
  <c r="C560" i="1"/>
  <c r="D560" i="1"/>
  <c r="E560" i="1"/>
  <c r="A561" i="1"/>
  <c r="B561" i="1"/>
  <c r="C561" i="1"/>
  <c r="D561" i="1"/>
  <c r="E561" i="1"/>
  <c r="A562" i="1"/>
  <c r="B562" i="1"/>
  <c r="C562" i="1"/>
  <c r="D562" i="1"/>
  <c r="E562" i="1"/>
  <c r="A563" i="1"/>
  <c r="B563" i="1"/>
  <c r="C563" i="1"/>
  <c r="D563" i="1"/>
  <c r="E563" i="1"/>
  <c r="A564" i="1"/>
  <c r="B564" i="1"/>
  <c r="C564" i="1"/>
  <c r="D564" i="1"/>
  <c r="E564" i="1"/>
  <c r="A565" i="1"/>
  <c r="B565" i="1"/>
  <c r="C565" i="1"/>
  <c r="D565" i="1"/>
  <c r="E565" i="1"/>
  <c r="A566" i="1"/>
  <c r="B566" i="1"/>
  <c r="C566" i="1"/>
  <c r="D566" i="1"/>
  <c r="E566" i="1"/>
  <c r="A567" i="1"/>
  <c r="B567" i="1"/>
  <c r="C567" i="1"/>
  <c r="D567" i="1"/>
  <c r="E567" i="1"/>
  <c r="A568" i="1"/>
  <c r="B568" i="1"/>
  <c r="C568" i="1"/>
  <c r="D568" i="1"/>
  <c r="E568" i="1"/>
  <c r="A569" i="1"/>
  <c r="B569" i="1"/>
  <c r="C569" i="1"/>
  <c r="D569" i="1"/>
  <c r="E569" i="1"/>
  <c r="A570" i="1"/>
  <c r="B570" i="1"/>
  <c r="C570" i="1"/>
  <c r="D570" i="1"/>
  <c r="E570" i="1"/>
  <c r="A571" i="1"/>
  <c r="B571" i="1"/>
  <c r="C571" i="1"/>
  <c r="D571" i="1"/>
  <c r="E571" i="1"/>
  <c r="A572" i="1"/>
  <c r="B572" i="1"/>
  <c r="C572" i="1"/>
  <c r="D572" i="1"/>
  <c r="E572" i="1"/>
  <c r="A573" i="1"/>
  <c r="B573" i="1"/>
  <c r="C573" i="1"/>
  <c r="D573" i="1"/>
  <c r="E573" i="1"/>
  <c r="A574" i="1"/>
  <c r="B574" i="1"/>
  <c r="C574" i="1"/>
  <c r="D574" i="1"/>
  <c r="E574" i="1"/>
  <c r="A575" i="1"/>
  <c r="B575" i="1"/>
  <c r="C575" i="1"/>
  <c r="D575" i="1"/>
  <c r="E575" i="1"/>
  <c r="A576" i="1"/>
  <c r="B576" i="1"/>
  <c r="C576" i="1"/>
  <c r="D576" i="1"/>
  <c r="E576" i="1"/>
  <c r="A577" i="1"/>
  <c r="B577" i="1"/>
  <c r="C577" i="1"/>
  <c r="D577" i="1"/>
  <c r="E577" i="1"/>
  <c r="A578" i="1"/>
  <c r="B578" i="1"/>
  <c r="C578" i="1"/>
  <c r="D578" i="1"/>
  <c r="E578" i="1"/>
  <c r="A579" i="1"/>
  <c r="B579" i="1"/>
  <c r="C579" i="1"/>
  <c r="D579" i="1"/>
  <c r="E579" i="1"/>
  <c r="A580" i="1"/>
  <c r="B580" i="1"/>
  <c r="C580" i="1"/>
  <c r="D580" i="1"/>
  <c r="E580" i="1"/>
  <c r="A581" i="1"/>
  <c r="B581" i="1"/>
  <c r="C581" i="1"/>
  <c r="D581" i="1"/>
  <c r="E581" i="1"/>
  <c r="A582" i="1"/>
  <c r="B582" i="1"/>
  <c r="C582" i="1"/>
  <c r="D582" i="1"/>
  <c r="E582" i="1"/>
  <c r="A583" i="1"/>
  <c r="B583" i="1"/>
  <c r="C583" i="1"/>
  <c r="D583" i="1"/>
  <c r="E583" i="1"/>
  <c r="A584" i="1"/>
  <c r="B584" i="1"/>
  <c r="C584" i="1"/>
  <c r="D584" i="1"/>
  <c r="E584" i="1"/>
  <c r="A585" i="1"/>
  <c r="B585" i="1"/>
  <c r="C585" i="1"/>
  <c r="D585" i="1"/>
  <c r="E585" i="1"/>
  <c r="A586" i="1"/>
  <c r="B586" i="1"/>
  <c r="C586" i="1"/>
  <c r="D586" i="1"/>
  <c r="E586" i="1"/>
  <c r="A587" i="1"/>
  <c r="B587" i="1"/>
  <c r="C587" i="1"/>
  <c r="D587" i="1"/>
  <c r="E587" i="1"/>
  <c r="A588" i="1"/>
  <c r="B588" i="1"/>
  <c r="C588" i="1"/>
  <c r="D588" i="1"/>
  <c r="E588" i="1"/>
  <c r="A589" i="1"/>
  <c r="B589" i="1"/>
  <c r="C589" i="1"/>
  <c r="D589" i="1"/>
  <c r="E589" i="1"/>
  <c r="A590" i="1"/>
  <c r="B590" i="1"/>
  <c r="C590" i="1"/>
  <c r="D590" i="1"/>
  <c r="E590" i="1"/>
  <c r="A591" i="1"/>
  <c r="B591" i="1"/>
  <c r="C591" i="1"/>
  <c r="D591" i="1"/>
  <c r="E591" i="1"/>
  <c r="A592" i="1"/>
  <c r="B592" i="1"/>
  <c r="C592" i="1"/>
  <c r="D592" i="1"/>
  <c r="E592" i="1"/>
  <c r="A593" i="1"/>
  <c r="B593" i="1"/>
  <c r="C593" i="1"/>
  <c r="D593" i="1"/>
  <c r="E593" i="1"/>
  <c r="A594" i="1"/>
  <c r="B594" i="1"/>
  <c r="C594" i="1"/>
  <c r="D594" i="1"/>
  <c r="E594" i="1"/>
  <c r="A595" i="1"/>
  <c r="B595" i="1"/>
  <c r="C595" i="1"/>
  <c r="D595" i="1"/>
  <c r="E595" i="1"/>
  <c r="A596" i="1"/>
  <c r="B596" i="1"/>
  <c r="C596" i="1"/>
  <c r="D596" i="1"/>
  <c r="E596" i="1"/>
  <c r="A597" i="1"/>
  <c r="B597" i="1"/>
  <c r="C597" i="1"/>
  <c r="D597" i="1"/>
  <c r="E597" i="1"/>
  <c r="A598" i="1"/>
  <c r="B598" i="1"/>
  <c r="C598" i="1"/>
  <c r="D598" i="1"/>
  <c r="E598" i="1"/>
  <c r="A599" i="1"/>
  <c r="B599" i="1"/>
  <c r="C599" i="1"/>
  <c r="D599" i="1"/>
  <c r="E599" i="1"/>
  <c r="A600" i="1"/>
  <c r="B600" i="1"/>
  <c r="C600" i="1"/>
  <c r="D600" i="1"/>
  <c r="E600" i="1"/>
  <c r="A601" i="1"/>
  <c r="B601" i="1"/>
  <c r="C601" i="1"/>
  <c r="D601" i="1"/>
  <c r="E601" i="1"/>
  <c r="A602" i="1"/>
  <c r="B602" i="1"/>
  <c r="C602" i="1"/>
  <c r="D602" i="1"/>
  <c r="E602" i="1"/>
  <c r="A603" i="1"/>
  <c r="B603" i="1"/>
  <c r="C603" i="1"/>
  <c r="D603" i="1"/>
  <c r="E603" i="1"/>
  <c r="A604" i="1"/>
  <c r="B604" i="1"/>
  <c r="C604" i="1"/>
  <c r="D604" i="1"/>
  <c r="E604" i="1"/>
  <c r="A605" i="1"/>
  <c r="B605" i="1"/>
  <c r="C605" i="1"/>
  <c r="D605" i="1"/>
  <c r="E605" i="1"/>
  <c r="A606" i="1"/>
  <c r="B606" i="1"/>
  <c r="C606" i="1"/>
  <c r="D606" i="1"/>
  <c r="E606" i="1"/>
  <c r="A607" i="1"/>
  <c r="B607" i="1"/>
  <c r="C607" i="1"/>
  <c r="D607" i="1"/>
  <c r="E607" i="1"/>
  <c r="A608" i="1"/>
  <c r="B608" i="1"/>
  <c r="C608" i="1"/>
  <c r="D608" i="1"/>
  <c r="E608" i="1"/>
  <c r="A609" i="1"/>
  <c r="B609" i="1"/>
  <c r="C609" i="1"/>
  <c r="D609" i="1"/>
  <c r="E609" i="1"/>
  <c r="A610" i="1"/>
  <c r="B610" i="1"/>
  <c r="C610" i="1"/>
  <c r="D610" i="1"/>
  <c r="E610" i="1"/>
  <c r="A611" i="1"/>
  <c r="B611" i="1"/>
  <c r="C611" i="1"/>
  <c r="D611" i="1"/>
  <c r="E611" i="1"/>
  <c r="A612" i="1"/>
  <c r="B612" i="1"/>
  <c r="C612" i="1"/>
  <c r="D612" i="1"/>
  <c r="E612" i="1"/>
  <c r="A613" i="1"/>
  <c r="B613" i="1"/>
  <c r="C613" i="1"/>
  <c r="D613" i="1"/>
  <c r="E613" i="1"/>
  <c r="A614" i="1"/>
  <c r="B614" i="1"/>
  <c r="C614" i="1"/>
  <c r="D614" i="1"/>
  <c r="E614" i="1"/>
  <c r="A615" i="1"/>
  <c r="B615" i="1"/>
  <c r="C615" i="1"/>
  <c r="D615" i="1"/>
  <c r="E615" i="1"/>
  <c r="A616" i="1"/>
  <c r="B616" i="1"/>
  <c r="C616" i="1"/>
  <c r="D616" i="1"/>
  <c r="E616" i="1"/>
  <c r="A617" i="1"/>
  <c r="B617" i="1"/>
  <c r="C617" i="1"/>
  <c r="D617" i="1"/>
  <c r="E617" i="1"/>
  <c r="A618" i="1"/>
  <c r="B618" i="1"/>
  <c r="C618" i="1"/>
  <c r="D618" i="1"/>
  <c r="E618" i="1"/>
  <c r="A619" i="1"/>
  <c r="B619" i="1"/>
  <c r="C619" i="1"/>
  <c r="D619" i="1"/>
  <c r="E619" i="1"/>
  <c r="A620" i="1"/>
  <c r="B620" i="1"/>
  <c r="C620" i="1"/>
  <c r="D620" i="1"/>
  <c r="E620" i="1"/>
  <c r="A621" i="1"/>
  <c r="B621" i="1"/>
  <c r="C621" i="1"/>
  <c r="D621" i="1"/>
  <c r="E621" i="1"/>
  <c r="A622" i="1"/>
  <c r="B622" i="1"/>
  <c r="C622" i="1"/>
  <c r="D622" i="1"/>
  <c r="E622" i="1"/>
  <c r="A623" i="1"/>
  <c r="B623" i="1"/>
  <c r="C623" i="1"/>
  <c r="D623" i="1"/>
  <c r="E623" i="1"/>
  <c r="A624" i="1"/>
  <c r="B624" i="1"/>
  <c r="C624" i="1"/>
  <c r="D624" i="1"/>
  <c r="E624" i="1"/>
  <c r="A625" i="1"/>
  <c r="B625" i="1"/>
  <c r="C625" i="1"/>
  <c r="D625" i="1"/>
  <c r="E625" i="1"/>
  <c r="A626" i="1"/>
  <c r="B626" i="1"/>
  <c r="C626" i="1"/>
  <c r="D626" i="1"/>
  <c r="E626" i="1"/>
  <c r="A627" i="1"/>
  <c r="B627" i="1"/>
  <c r="C627" i="1"/>
  <c r="D627" i="1"/>
  <c r="E627" i="1"/>
  <c r="A628" i="1"/>
  <c r="B628" i="1"/>
  <c r="C628" i="1"/>
  <c r="D628" i="1"/>
  <c r="E628" i="1"/>
  <c r="A629" i="1"/>
  <c r="B629" i="1"/>
  <c r="C629" i="1"/>
  <c r="D629" i="1"/>
  <c r="E629" i="1"/>
  <c r="A630" i="1"/>
  <c r="B630" i="1"/>
  <c r="C630" i="1"/>
  <c r="D630" i="1"/>
  <c r="E630" i="1"/>
  <c r="A631" i="1"/>
  <c r="B631" i="1"/>
  <c r="C631" i="1"/>
  <c r="D631" i="1"/>
  <c r="E631" i="1"/>
  <c r="A632" i="1"/>
  <c r="B632" i="1"/>
  <c r="C632" i="1"/>
  <c r="D632" i="1"/>
  <c r="E632" i="1"/>
  <c r="A633" i="1"/>
  <c r="B633" i="1"/>
  <c r="C633" i="1"/>
  <c r="D633" i="1"/>
  <c r="E633" i="1"/>
  <c r="A634" i="1"/>
  <c r="B634" i="1"/>
  <c r="C634" i="1"/>
  <c r="D634" i="1"/>
  <c r="E634" i="1"/>
  <c r="A635" i="1"/>
  <c r="B635" i="1"/>
  <c r="C635" i="1"/>
  <c r="D635" i="1"/>
  <c r="E635" i="1"/>
  <c r="A636" i="1"/>
  <c r="B636" i="1"/>
  <c r="C636" i="1"/>
  <c r="D636" i="1"/>
  <c r="E636" i="1"/>
  <c r="A637" i="1"/>
  <c r="B637" i="1"/>
  <c r="C637" i="1"/>
  <c r="D637" i="1"/>
  <c r="E637" i="1"/>
  <c r="A638" i="1"/>
  <c r="B638" i="1"/>
  <c r="C638" i="1"/>
  <c r="D638" i="1"/>
  <c r="E638" i="1"/>
  <c r="A639" i="1"/>
  <c r="B639" i="1"/>
  <c r="C639" i="1"/>
  <c r="D639" i="1"/>
  <c r="E639" i="1"/>
  <c r="A640" i="1"/>
  <c r="B640" i="1"/>
  <c r="C640" i="1"/>
  <c r="D640" i="1"/>
  <c r="E640" i="1"/>
  <c r="A641" i="1"/>
  <c r="B641" i="1"/>
  <c r="C641" i="1"/>
  <c r="D641" i="1"/>
  <c r="E641" i="1"/>
  <c r="A642" i="1"/>
  <c r="B642" i="1"/>
  <c r="C642" i="1"/>
  <c r="D642" i="1"/>
  <c r="E642" i="1"/>
  <c r="A643" i="1"/>
  <c r="B643" i="1"/>
  <c r="C643" i="1"/>
  <c r="D643" i="1"/>
  <c r="E643" i="1"/>
  <c r="A644" i="1"/>
  <c r="B644" i="1"/>
  <c r="C644" i="1"/>
  <c r="D644" i="1"/>
  <c r="E644" i="1"/>
  <c r="A645" i="1"/>
  <c r="B645" i="1"/>
  <c r="C645" i="1"/>
  <c r="D645" i="1"/>
  <c r="E645" i="1"/>
  <c r="A646" i="1"/>
  <c r="B646" i="1"/>
  <c r="C646" i="1"/>
  <c r="D646" i="1"/>
  <c r="E646" i="1"/>
  <c r="A647" i="1"/>
  <c r="B647" i="1"/>
  <c r="C647" i="1"/>
  <c r="D647" i="1"/>
  <c r="E647" i="1"/>
  <c r="A648" i="1"/>
  <c r="B648" i="1"/>
  <c r="C648" i="1"/>
  <c r="D648" i="1"/>
  <c r="E648" i="1"/>
  <c r="A649" i="1"/>
  <c r="B649" i="1"/>
  <c r="C649" i="1"/>
  <c r="D649" i="1"/>
  <c r="E649" i="1"/>
  <c r="A650" i="1"/>
  <c r="B650" i="1"/>
  <c r="C650" i="1"/>
  <c r="D650" i="1"/>
  <c r="E650" i="1"/>
  <c r="A651" i="1"/>
  <c r="B651" i="1"/>
  <c r="C651" i="1"/>
  <c r="D651" i="1"/>
  <c r="E651" i="1"/>
  <c r="A652" i="1"/>
  <c r="B652" i="1"/>
  <c r="C652" i="1"/>
  <c r="D652" i="1"/>
  <c r="E652" i="1"/>
  <c r="A653" i="1"/>
  <c r="B653" i="1"/>
  <c r="C653" i="1"/>
  <c r="D653" i="1"/>
  <c r="E653" i="1"/>
  <c r="A654" i="1"/>
  <c r="B654" i="1"/>
  <c r="C654" i="1"/>
  <c r="D654" i="1"/>
  <c r="E654" i="1"/>
  <c r="A655" i="1"/>
  <c r="B655" i="1"/>
  <c r="C655" i="1"/>
  <c r="D655" i="1"/>
  <c r="E655" i="1"/>
  <c r="A656" i="1"/>
  <c r="B656" i="1"/>
  <c r="C656" i="1"/>
  <c r="D656" i="1"/>
  <c r="E656" i="1"/>
  <c r="A657" i="1"/>
  <c r="B657" i="1"/>
  <c r="C657" i="1"/>
  <c r="D657" i="1"/>
  <c r="E657" i="1"/>
  <c r="A658" i="1"/>
  <c r="B658" i="1"/>
  <c r="C658" i="1"/>
  <c r="D658" i="1"/>
  <c r="E658" i="1"/>
  <c r="A659" i="1"/>
  <c r="B659" i="1"/>
  <c r="C659" i="1"/>
  <c r="D659" i="1"/>
  <c r="E659" i="1"/>
  <c r="A660" i="1"/>
  <c r="B660" i="1"/>
  <c r="C660" i="1"/>
  <c r="D660" i="1"/>
  <c r="E660" i="1"/>
  <c r="A661" i="1"/>
  <c r="B661" i="1"/>
  <c r="C661" i="1"/>
  <c r="D661" i="1"/>
  <c r="E661" i="1"/>
  <c r="A662" i="1"/>
  <c r="B662" i="1"/>
  <c r="C662" i="1"/>
  <c r="D662" i="1"/>
  <c r="E662" i="1"/>
  <c r="A663" i="1"/>
  <c r="B663" i="1"/>
  <c r="C663" i="1"/>
  <c r="D663" i="1"/>
  <c r="E663" i="1"/>
  <c r="A664" i="1"/>
  <c r="B664" i="1"/>
  <c r="C664" i="1"/>
  <c r="D664" i="1"/>
  <c r="E664" i="1"/>
  <c r="A665" i="1"/>
  <c r="B665" i="1"/>
  <c r="C665" i="1"/>
  <c r="D665" i="1"/>
  <c r="E665" i="1"/>
  <c r="A666" i="1"/>
  <c r="B666" i="1"/>
  <c r="C666" i="1"/>
  <c r="D666" i="1"/>
  <c r="E666" i="1"/>
  <c r="A667" i="1"/>
  <c r="B667" i="1"/>
  <c r="C667" i="1"/>
  <c r="D667" i="1"/>
  <c r="E667" i="1"/>
  <c r="A668" i="1"/>
  <c r="B668" i="1"/>
  <c r="C668" i="1"/>
  <c r="D668" i="1"/>
  <c r="E668" i="1"/>
  <c r="A669" i="1"/>
  <c r="B669" i="1"/>
  <c r="C669" i="1"/>
  <c r="D669" i="1"/>
  <c r="E669" i="1"/>
  <c r="A670" i="1"/>
  <c r="B670" i="1"/>
  <c r="C670" i="1"/>
  <c r="D670" i="1"/>
  <c r="E670" i="1"/>
  <c r="A671" i="1"/>
  <c r="B671" i="1"/>
  <c r="C671" i="1"/>
  <c r="D671" i="1"/>
  <c r="E671" i="1"/>
  <c r="A672" i="1"/>
  <c r="B672" i="1"/>
  <c r="C672" i="1"/>
  <c r="D672" i="1"/>
  <c r="E672" i="1"/>
  <c r="A673" i="1"/>
  <c r="B673" i="1"/>
  <c r="C673" i="1"/>
  <c r="D673" i="1"/>
  <c r="E673" i="1"/>
  <c r="A674" i="1"/>
  <c r="B674" i="1"/>
  <c r="C674" i="1"/>
  <c r="D674" i="1"/>
  <c r="E674" i="1"/>
  <c r="A675" i="1"/>
  <c r="B675" i="1"/>
  <c r="C675" i="1"/>
  <c r="D675" i="1"/>
  <c r="E675" i="1"/>
  <c r="A676" i="1"/>
  <c r="B676" i="1"/>
  <c r="C676" i="1"/>
  <c r="D676" i="1"/>
  <c r="E676" i="1"/>
  <c r="A677" i="1"/>
  <c r="B677" i="1"/>
  <c r="C677" i="1"/>
  <c r="D677" i="1"/>
  <c r="E677" i="1"/>
  <c r="A678" i="1"/>
  <c r="B678" i="1"/>
  <c r="C678" i="1"/>
  <c r="D678" i="1"/>
  <c r="E678" i="1"/>
  <c r="A679" i="1"/>
  <c r="B679" i="1"/>
  <c r="C679" i="1"/>
  <c r="D679" i="1"/>
  <c r="E679" i="1"/>
  <c r="A680" i="1"/>
  <c r="B680" i="1"/>
  <c r="C680" i="1"/>
  <c r="D680" i="1"/>
  <c r="E680" i="1"/>
  <c r="A681" i="1"/>
  <c r="B681" i="1"/>
  <c r="C681" i="1"/>
  <c r="D681" i="1"/>
  <c r="E681" i="1"/>
  <c r="A682" i="1"/>
  <c r="B682" i="1"/>
  <c r="C682" i="1"/>
  <c r="D682" i="1"/>
  <c r="E682" i="1"/>
  <c r="A683" i="1"/>
  <c r="B683" i="1"/>
  <c r="C683" i="1"/>
  <c r="D683" i="1"/>
  <c r="E683" i="1"/>
  <c r="A684" i="1"/>
  <c r="B684" i="1"/>
  <c r="C684" i="1"/>
  <c r="D684" i="1"/>
  <c r="E684" i="1"/>
  <c r="A685" i="1"/>
  <c r="B685" i="1"/>
  <c r="C685" i="1"/>
  <c r="D685" i="1"/>
  <c r="E685" i="1"/>
  <c r="A686" i="1"/>
  <c r="B686" i="1"/>
  <c r="C686" i="1"/>
  <c r="D686" i="1"/>
  <c r="E686" i="1"/>
  <c r="A687" i="1"/>
  <c r="B687" i="1"/>
  <c r="C687" i="1"/>
  <c r="D687" i="1"/>
  <c r="E687" i="1"/>
  <c r="A688" i="1"/>
  <c r="B688" i="1"/>
  <c r="C688" i="1"/>
  <c r="D688" i="1"/>
  <c r="E688" i="1"/>
  <c r="A689" i="1"/>
  <c r="B689" i="1"/>
  <c r="C689" i="1"/>
  <c r="D689" i="1"/>
  <c r="E689" i="1"/>
  <c r="A690" i="1"/>
  <c r="B690" i="1"/>
  <c r="C690" i="1"/>
  <c r="D690" i="1"/>
  <c r="E690" i="1"/>
  <c r="A691" i="1"/>
  <c r="B691" i="1"/>
  <c r="C691" i="1"/>
  <c r="D691" i="1"/>
  <c r="E691" i="1"/>
  <c r="A692" i="1"/>
  <c r="B692" i="1"/>
  <c r="C692" i="1"/>
  <c r="D692" i="1"/>
  <c r="E692" i="1"/>
  <c r="A693" i="1"/>
  <c r="B693" i="1"/>
  <c r="C693" i="1"/>
  <c r="D693" i="1"/>
  <c r="E693" i="1"/>
  <c r="A694" i="1"/>
  <c r="B694" i="1"/>
  <c r="C694" i="1"/>
  <c r="D694" i="1"/>
  <c r="E694" i="1"/>
  <c r="A695" i="1"/>
  <c r="B695" i="1"/>
  <c r="C695" i="1"/>
  <c r="D695" i="1"/>
  <c r="E695" i="1"/>
  <c r="A696" i="1"/>
  <c r="B696" i="1"/>
  <c r="C696" i="1"/>
  <c r="D696" i="1"/>
  <c r="E696" i="1"/>
  <c r="A697" i="1"/>
  <c r="B697" i="1"/>
  <c r="C697" i="1"/>
  <c r="D697" i="1"/>
  <c r="E697" i="1"/>
  <c r="A698" i="1"/>
  <c r="B698" i="1"/>
  <c r="C698" i="1"/>
  <c r="D698" i="1"/>
  <c r="E698" i="1"/>
  <c r="A699" i="1"/>
  <c r="B699" i="1"/>
  <c r="C699" i="1"/>
  <c r="D699" i="1"/>
  <c r="E699" i="1"/>
  <c r="A700" i="1"/>
  <c r="B700" i="1"/>
  <c r="C700" i="1"/>
  <c r="D700" i="1"/>
  <c r="E700" i="1"/>
  <c r="A701" i="1"/>
  <c r="B701" i="1"/>
  <c r="C701" i="1"/>
  <c r="D701" i="1"/>
  <c r="E701" i="1"/>
  <c r="A702" i="1"/>
  <c r="B702" i="1"/>
  <c r="C702" i="1"/>
  <c r="D702" i="1"/>
  <c r="E702" i="1"/>
  <c r="A703" i="1"/>
  <c r="B703" i="1"/>
  <c r="C703" i="1"/>
  <c r="D703" i="1"/>
  <c r="E703" i="1"/>
  <c r="A704" i="1"/>
  <c r="B704" i="1"/>
  <c r="C704" i="1"/>
  <c r="D704" i="1"/>
  <c r="E704" i="1"/>
  <c r="A705" i="1"/>
  <c r="B705" i="1"/>
  <c r="C705" i="1"/>
  <c r="D705" i="1"/>
  <c r="E705" i="1"/>
  <c r="A706" i="1"/>
  <c r="B706" i="1"/>
  <c r="C706" i="1"/>
  <c r="D706" i="1"/>
  <c r="E706" i="1"/>
  <c r="A707" i="1"/>
  <c r="B707" i="1"/>
  <c r="C707" i="1"/>
  <c r="D707" i="1"/>
  <c r="E707" i="1"/>
  <c r="A708" i="1"/>
  <c r="B708" i="1"/>
  <c r="C708" i="1"/>
  <c r="D708" i="1"/>
  <c r="E708" i="1"/>
  <c r="A709" i="1"/>
  <c r="B709" i="1"/>
  <c r="C709" i="1"/>
  <c r="D709" i="1"/>
  <c r="E709" i="1"/>
  <c r="A710" i="1"/>
  <c r="B710" i="1"/>
  <c r="C710" i="1"/>
  <c r="D710" i="1"/>
  <c r="E710" i="1"/>
  <c r="A711" i="1"/>
  <c r="B711" i="1"/>
  <c r="C711" i="1"/>
  <c r="D711" i="1"/>
  <c r="E711" i="1"/>
  <c r="A712" i="1"/>
  <c r="B712" i="1"/>
  <c r="C712" i="1"/>
  <c r="D712" i="1"/>
  <c r="E712" i="1"/>
  <c r="A713" i="1"/>
  <c r="B713" i="1"/>
  <c r="C713" i="1"/>
  <c r="D713" i="1"/>
  <c r="E713" i="1"/>
  <c r="A714" i="1"/>
  <c r="B714" i="1"/>
  <c r="C714" i="1"/>
  <c r="D714" i="1"/>
  <c r="E714" i="1"/>
  <c r="A715" i="1"/>
  <c r="B715" i="1"/>
  <c r="C715" i="1"/>
  <c r="D715" i="1"/>
  <c r="E715" i="1"/>
  <c r="A716" i="1"/>
  <c r="B716" i="1"/>
  <c r="C716" i="1"/>
  <c r="D716" i="1"/>
  <c r="E716" i="1"/>
  <c r="A717" i="1"/>
  <c r="B717" i="1"/>
  <c r="C717" i="1"/>
  <c r="D717" i="1"/>
  <c r="E717" i="1"/>
  <c r="A718" i="1"/>
  <c r="B718" i="1"/>
  <c r="C718" i="1"/>
  <c r="D718" i="1"/>
  <c r="E718" i="1"/>
  <c r="A719" i="1"/>
  <c r="B719" i="1"/>
  <c r="C719" i="1"/>
  <c r="D719" i="1"/>
  <c r="E719" i="1"/>
  <c r="A720" i="1"/>
  <c r="B720" i="1"/>
  <c r="C720" i="1"/>
  <c r="D720" i="1"/>
  <c r="E720" i="1"/>
  <c r="A721" i="1"/>
  <c r="B721" i="1"/>
  <c r="C721" i="1"/>
  <c r="D721" i="1"/>
  <c r="E721" i="1"/>
  <c r="A722" i="1"/>
  <c r="B722" i="1"/>
  <c r="C722" i="1"/>
  <c r="D722" i="1"/>
  <c r="E722" i="1"/>
  <c r="A723" i="1"/>
  <c r="B723" i="1"/>
  <c r="C723" i="1"/>
  <c r="D723" i="1"/>
  <c r="E723" i="1"/>
  <c r="A724" i="1"/>
  <c r="B724" i="1"/>
  <c r="C724" i="1"/>
  <c r="D724" i="1"/>
  <c r="E724" i="1"/>
  <c r="A725" i="1"/>
  <c r="B725" i="1"/>
  <c r="C725" i="1"/>
  <c r="D725" i="1"/>
  <c r="E725" i="1"/>
  <c r="A726" i="1"/>
  <c r="B726" i="1"/>
  <c r="C726" i="1"/>
  <c r="D726" i="1"/>
  <c r="E726" i="1"/>
  <c r="A727" i="1"/>
  <c r="B727" i="1"/>
  <c r="C727" i="1"/>
  <c r="D727" i="1"/>
  <c r="E727" i="1"/>
  <c r="A728" i="1"/>
  <c r="B728" i="1"/>
  <c r="C728" i="1"/>
  <c r="D728" i="1"/>
  <c r="E728" i="1"/>
  <c r="A729" i="1"/>
  <c r="B729" i="1"/>
  <c r="C729" i="1"/>
  <c r="D729" i="1"/>
  <c r="E729" i="1"/>
  <c r="A730" i="1"/>
  <c r="B730" i="1"/>
  <c r="C730" i="1"/>
  <c r="D730" i="1"/>
  <c r="E730" i="1"/>
  <c r="A731" i="1"/>
  <c r="B731" i="1"/>
  <c r="C731" i="1"/>
  <c r="D731" i="1"/>
  <c r="E731" i="1"/>
  <c r="A732" i="1"/>
  <c r="B732" i="1"/>
  <c r="C732" i="1"/>
  <c r="D732" i="1"/>
  <c r="E732" i="1"/>
  <c r="A733" i="1"/>
  <c r="B733" i="1"/>
  <c r="C733" i="1"/>
  <c r="D733" i="1"/>
  <c r="E733" i="1"/>
  <c r="A734" i="1"/>
  <c r="B734" i="1"/>
  <c r="C734" i="1"/>
  <c r="D734" i="1"/>
  <c r="E734" i="1"/>
  <c r="A735" i="1"/>
  <c r="B735" i="1"/>
  <c r="C735" i="1"/>
  <c r="D735" i="1"/>
  <c r="E735" i="1"/>
  <c r="A736" i="1"/>
  <c r="B736" i="1"/>
  <c r="C736" i="1"/>
  <c r="D736" i="1"/>
  <c r="E736" i="1"/>
  <c r="A737" i="1"/>
  <c r="B737" i="1"/>
  <c r="C737" i="1"/>
  <c r="D737" i="1"/>
  <c r="E737" i="1"/>
  <c r="A738" i="1"/>
  <c r="B738" i="1"/>
  <c r="C738" i="1"/>
  <c r="D738" i="1"/>
  <c r="E738" i="1"/>
  <c r="A739" i="1"/>
  <c r="B739" i="1"/>
  <c r="C739" i="1"/>
  <c r="D739" i="1"/>
  <c r="E739" i="1"/>
  <c r="A740" i="1"/>
  <c r="B740" i="1"/>
  <c r="C740" i="1"/>
  <c r="D740" i="1"/>
  <c r="E740" i="1"/>
  <c r="A741" i="1"/>
  <c r="B741" i="1"/>
  <c r="C741" i="1"/>
  <c r="D741" i="1"/>
  <c r="E741" i="1"/>
  <c r="A742" i="1"/>
  <c r="B742" i="1"/>
  <c r="C742" i="1"/>
  <c r="D742" i="1"/>
  <c r="E742" i="1"/>
  <c r="A743" i="1"/>
  <c r="B743" i="1"/>
  <c r="C743" i="1"/>
  <c r="D743" i="1"/>
  <c r="E743" i="1"/>
  <c r="A744" i="1"/>
  <c r="B744" i="1"/>
  <c r="C744" i="1"/>
  <c r="D744" i="1"/>
  <c r="E744" i="1"/>
  <c r="A745" i="1"/>
  <c r="B745" i="1"/>
  <c r="C745" i="1"/>
  <c r="D745" i="1"/>
  <c r="E745" i="1"/>
  <c r="A746" i="1"/>
  <c r="B746" i="1"/>
  <c r="C746" i="1"/>
  <c r="D746" i="1"/>
  <c r="E746" i="1"/>
  <c r="A747" i="1"/>
  <c r="B747" i="1"/>
  <c r="C747" i="1"/>
  <c r="D747" i="1"/>
  <c r="E747" i="1"/>
  <c r="A748" i="1"/>
  <c r="B748" i="1"/>
  <c r="C748" i="1"/>
  <c r="D748" i="1"/>
  <c r="E748" i="1"/>
  <c r="A749" i="1"/>
  <c r="B749" i="1"/>
  <c r="C749" i="1"/>
  <c r="D749" i="1"/>
  <c r="E749" i="1"/>
  <c r="A750" i="1"/>
  <c r="B750" i="1"/>
  <c r="C750" i="1"/>
  <c r="D750" i="1"/>
  <c r="E750" i="1"/>
  <c r="A751" i="1"/>
  <c r="B751" i="1"/>
  <c r="C751" i="1"/>
  <c r="D751" i="1"/>
  <c r="E751" i="1"/>
  <c r="A752" i="1"/>
  <c r="B752" i="1"/>
  <c r="C752" i="1"/>
  <c r="D752" i="1"/>
  <c r="E752" i="1"/>
  <c r="A753" i="1"/>
  <c r="B753" i="1"/>
  <c r="C753" i="1"/>
  <c r="D753" i="1"/>
  <c r="E753" i="1"/>
  <c r="A754" i="1"/>
  <c r="B754" i="1"/>
  <c r="C754" i="1"/>
  <c r="D754" i="1"/>
  <c r="E754" i="1"/>
  <c r="A755" i="1"/>
  <c r="B755" i="1"/>
  <c r="C755" i="1"/>
  <c r="D755" i="1"/>
  <c r="E755" i="1"/>
  <c r="A756" i="1"/>
  <c r="B756" i="1"/>
  <c r="C756" i="1"/>
  <c r="D756" i="1"/>
  <c r="E756" i="1"/>
  <c r="A757" i="1"/>
  <c r="B757" i="1"/>
  <c r="C757" i="1"/>
  <c r="D757" i="1"/>
  <c r="E757" i="1"/>
  <c r="A758" i="1"/>
  <c r="B758" i="1"/>
  <c r="C758" i="1"/>
  <c r="D758" i="1"/>
  <c r="E758" i="1"/>
  <c r="A759" i="1"/>
  <c r="B759" i="1"/>
  <c r="C759" i="1"/>
  <c r="D759" i="1"/>
  <c r="E759" i="1"/>
  <c r="A760" i="1"/>
  <c r="B760" i="1"/>
  <c r="C760" i="1"/>
  <c r="D760" i="1"/>
  <c r="E760" i="1"/>
  <c r="A761" i="1"/>
  <c r="B761" i="1"/>
  <c r="C761" i="1"/>
  <c r="D761" i="1"/>
  <c r="E761" i="1"/>
  <c r="A762" i="1"/>
  <c r="B762" i="1"/>
  <c r="C762" i="1"/>
  <c r="D762" i="1"/>
  <c r="E762" i="1"/>
  <c r="A763" i="1"/>
  <c r="B763" i="1"/>
  <c r="C763" i="1"/>
  <c r="D763" i="1"/>
  <c r="E763" i="1"/>
  <c r="A764" i="1"/>
  <c r="B764" i="1"/>
  <c r="C764" i="1"/>
  <c r="D764" i="1"/>
  <c r="E764" i="1"/>
  <c r="A765" i="1"/>
  <c r="B765" i="1"/>
  <c r="C765" i="1"/>
  <c r="D765" i="1"/>
  <c r="E765" i="1"/>
  <c r="A766" i="1"/>
  <c r="B766" i="1"/>
  <c r="C766" i="1"/>
  <c r="D766" i="1"/>
  <c r="E766" i="1"/>
  <c r="A767" i="1"/>
  <c r="B767" i="1"/>
  <c r="C767" i="1"/>
  <c r="D767" i="1"/>
  <c r="E767" i="1"/>
  <c r="A768" i="1"/>
  <c r="B768" i="1"/>
  <c r="C768" i="1"/>
  <c r="D768" i="1"/>
  <c r="E768" i="1"/>
  <c r="A769" i="1"/>
  <c r="B769" i="1"/>
  <c r="C769" i="1"/>
  <c r="D769" i="1"/>
  <c r="E769" i="1"/>
  <c r="A770" i="1"/>
  <c r="B770" i="1"/>
  <c r="C770" i="1"/>
  <c r="D770" i="1"/>
  <c r="E770" i="1"/>
  <c r="A771" i="1"/>
  <c r="B771" i="1"/>
  <c r="C771" i="1"/>
  <c r="D771" i="1"/>
  <c r="E771" i="1"/>
  <c r="A772" i="1"/>
  <c r="B772" i="1"/>
  <c r="C772" i="1"/>
  <c r="D772" i="1"/>
  <c r="E772" i="1"/>
  <c r="A773" i="1"/>
  <c r="B773" i="1"/>
  <c r="C773" i="1"/>
  <c r="D773" i="1"/>
  <c r="E773" i="1"/>
  <c r="A774" i="1"/>
  <c r="B774" i="1"/>
  <c r="C774" i="1"/>
  <c r="D774" i="1"/>
  <c r="E774" i="1"/>
  <c r="A775" i="1"/>
  <c r="B775" i="1"/>
  <c r="C775" i="1"/>
  <c r="D775" i="1"/>
  <c r="E775" i="1"/>
  <c r="A776" i="1"/>
  <c r="B776" i="1"/>
  <c r="C776" i="1"/>
  <c r="D776" i="1"/>
  <c r="E776" i="1"/>
  <c r="A777" i="1"/>
  <c r="B777" i="1"/>
  <c r="C777" i="1"/>
  <c r="D777" i="1"/>
  <c r="E777" i="1"/>
  <c r="A778" i="1"/>
  <c r="B778" i="1"/>
  <c r="C778" i="1"/>
  <c r="D778" i="1"/>
  <c r="E778" i="1"/>
  <c r="A779" i="1"/>
  <c r="B779" i="1"/>
  <c r="C779" i="1"/>
  <c r="D779" i="1"/>
  <c r="E779" i="1"/>
  <c r="A780" i="1"/>
  <c r="B780" i="1"/>
  <c r="C780" i="1"/>
  <c r="D780" i="1"/>
  <c r="E780" i="1"/>
  <c r="A781" i="1"/>
  <c r="B781" i="1"/>
  <c r="C781" i="1"/>
  <c r="D781" i="1"/>
  <c r="E781" i="1"/>
  <c r="A782" i="1"/>
  <c r="B782" i="1"/>
  <c r="C782" i="1"/>
  <c r="D782" i="1"/>
  <c r="E782" i="1"/>
  <c r="A783" i="1"/>
  <c r="B783" i="1"/>
  <c r="C783" i="1"/>
  <c r="D783" i="1"/>
  <c r="E783" i="1"/>
  <c r="A784" i="1"/>
  <c r="B784" i="1"/>
  <c r="C784" i="1"/>
  <c r="D784" i="1"/>
  <c r="E784" i="1"/>
  <c r="A785" i="1"/>
  <c r="B785" i="1"/>
  <c r="C785" i="1"/>
  <c r="D785" i="1"/>
  <c r="E785" i="1"/>
  <c r="A786" i="1"/>
  <c r="B786" i="1"/>
  <c r="C786" i="1"/>
  <c r="D786" i="1"/>
  <c r="E786" i="1"/>
  <c r="A787" i="1"/>
  <c r="B787" i="1"/>
  <c r="C787" i="1"/>
  <c r="D787" i="1"/>
  <c r="E787" i="1"/>
  <c r="A788" i="1"/>
  <c r="B788" i="1"/>
  <c r="C788" i="1"/>
  <c r="D788" i="1"/>
  <c r="E788" i="1"/>
  <c r="A789" i="1"/>
  <c r="B789" i="1"/>
  <c r="C789" i="1"/>
  <c r="D789" i="1"/>
  <c r="E789" i="1"/>
  <c r="A790" i="1"/>
  <c r="B790" i="1"/>
  <c r="C790" i="1"/>
  <c r="D790" i="1"/>
  <c r="E790" i="1"/>
  <c r="A791" i="1"/>
  <c r="B791" i="1"/>
  <c r="C791" i="1"/>
  <c r="D791" i="1"/>
  <c r="E791" i="1"/>
  <c r="A792" i="1"/>
  <c r="B792" i="1"/>
  <c r="C792" i="1"/>
  <c r="D792" i="1"/>
  <c r="E792" i="1"/>
  <c r="A793" i="1"/>
  <c r="B793" i="1"/>
  <c r="C793" i="1"/>
  <c r="D793" i="1"/>
  <c r="E793" i="1"/>
  <c r="A794" i="1"/>
  <c r="B794" i="1"/>
  <c r="C794" i="1"/>
  <c r="D794" i="1"/>
  <c r="E794" i="1"/>
  <c r="A795" i="1"/>
  <c r="B795" i="1"/>
  <c r="C795" i="1"/>
  <c r="D795" i="1"/>
  <c r="E795" i="1"/>
  <c r="A796" i="1"/>
  <c r="B796" i="1"/>
  <c r="C796" i="1"/>
  <c r="D796" i="1"/>
  <c r="E796" i="1"/>
  <c r="A797" i="1"/>
  <c r="B797" i="1"/>
  <c r="C797" i="1"/>
  <c r="D797" i="1"/>
  <c r="E797" i="1"/>
  <c r="A798" i="1"/>
  <c r="B798" i="1"/>
  <c r="C798" i="1"/>
  <c r="D798" i="1"/>
  <c r="E798" i="1"/>
  <c r="A799" i="1"/>
  <c r="B799" i="1"/>
  <c r="C799" i="1"/>
  <c r="D799" i="1"/>
  <c r="E799" i="1"/>
  <c r="A800" i="1"/>
  <c r="B800" i="1"/>
  <c r="C800" i="1"/>
  <c r="D800" i="1"/>
  <c r="E800" i="1"/>
  <c r="A801" i="1"/>
  <c r="B801" i="1"/>
  <c r="C801" i="1"/>
  <c r="D801" i="1"/>
  <c r="E801" i="1"/>
  <c r="A802" i="1"/>
  <c r="B802" i="1"/>
  <c r="C802" i="1"/>
  <c r="D802" i="1"/>
  <c r="E802" i="1"/>
  <c r="A803" i="1"/>
  <c r="B803" i="1"/>
  <c r="C803" i="1"/>
  <c r="D803" i="1"/>
  <c r="E803" i="1"/>
  <c r="A804" i="1"/>
  <c r="B804" i="1"/>
  <c r="C804" i="1"/>
  <c r="D804" i="1"/>
  <c r="E804" i="1"/>
  <c r="A805" i="1"/>
  <c r="B805" i="1"/>
  <c r="C805" i="1"/>
  <c r="D805" i="1"/>
  <c r="E805" i="1"/>
  <c r="A806" i="1"/>
  <c r="B806" i="1"/>
  <c r="C806" i="1"/>
  <c r="D806" i="1"/>
  <c r="E806" i="1"/>
  <c r="A807" i="1"/>
  <c r="B807" i="1"/>
  <c r="C807" i="1"/>
  <c r="D807" i="1"/>
  <c r="E807" i="1"/>
  <c r="A808" i="1"/>
  <c r="B808" i="1"/>
  <c r="C808" i="1"/>
  <c r="D808" i="1"/>
  <c r="E808" i="1"/>
  <c r="A809" i="1"/>
  <c r="B809" i="1"/>
  <c r="C809" i="1"/>
  <c r="D809" i="1"/>
  <c r="E809" i="1"/>
  <c r="A810" i="1"/>
  <c r="B810" i="1"/>
  <c r="C810" i="1"/>
  <c r="D810" i="1"/>
  <c r="E810" i="1"/>
  <c r="A811" i="1"/>
  <c r="B811" i="1"/>
  <c r="C811" i="1"/>
  <c r="D811" i="1"/>
  <c r="E811" i="1"/>
  <c r="A812" i="1"/>
  <c r="B812" i="1"/>
  <c r="C812" i="1"/>
  <c r="D812" i="1"/>
  <c r="E812" i="1"/>
  <c r="A813" i="1"/>
  <c r="B813" i="1"/>
  <c r="C813" i="1"/>
  <c r="D813" i="1"/>
  <c r="E813" i="1"/>
  <c r="A814" i="1"/>
  <c r="B814" i="1"/>
  <c r="C814" i="1"/>
  <c r="D814" i="1"/>
  <c r="E814" i="1"/>
  <c r="A815" i="1"/>
  <c r="B815" i="1"/>
  <c r="C815" i="1"/>
  <c r="D815" i="1"/>
  <c r="E815" i="1"/>
  <c r="A816" i="1"/>
  <c r="B816" i="1"/>
  <c r="C816" i="1"/>
  <c r="D816" i="1"/>
  <c r="E816" i="1"/>
  <c r="A817" i="1"/>
  <c r="B817" i="1"/>
  <c r="C817" i="1"/>
  <c r="D817" i="1"/>
  <c r="E817" i="1"/>
  <c r="A818" i="1"/>
  <c r="B818" i="1"/>
  <c r="C818" i="1"/>
  <c r="D818" i="1"/>
  <c r="E818" i="1"/>
  <c r="A819" i="1"/>
  <c r="B819" i="1"/>
  <c r="C819" i="1"/>
  <c r="D819" i="1"/>
  <c r="E819" i="1"/>
  <c r="A820" i="1"/>
  <c r="B820" i="1"/>
  <c r="C820" i="1"/>
  <c r="D820" i="1"/>
  <c r="E820" i="1"/>
  <c r="A821" i="1"/>
  <c r="B821" i="1"/>
  <c r="C821" i="1"/>
  <c r="D821" i="1"/>
  <c r="E821" i="1"/>
  <c r="A822" i="1"/>
  <c r="B822" i="1"/>
  <c r="C822" i="1"/>
  <c r="D822" i="1"/>
  <c r="E822" i="1"/>
  <c r="A823" i="1"/>
  <c r="B823" i="1"/>
  <c r="C823" i="1"/>
  <c r="D823" i="1"/>
  <c r="E823" i="1"/>
  <c r="A824" i="1"/>
  <c r="B824" i="1"/>
  <c r="C824" i="1"/>
  <c r="D824" i="1"/>
  <c r="E824" i="1"/>
  <c r="A825" i="1"/>
  <c r="B825" i="1"/>
  <c r="C825" i="1"/>
  <c r="D825" i="1"/>
  <c r="E825" i="1"/>
  <c r="A826" i="1"/>
  <c r="B826" i="1"/>
  <c r="C826" i="1"/>
  <c r="D826" i="1"/>
  <c r="E826" i="1"/>
  <c r="A827" i="1"/>
  <c r="B827" i="1"/>
  <c r="C827" i="1"/>
  <c r="D827" i="1"/>
  <c r="E827" i="1"/>
  <c r="A828" i="1"/>
  <c r="B828" i="1"/>
  <c r="C828" i="1"/>
  <c r="D828" i="1"/>
  <c r="E828" i="1"/>
  <c r="A829" i="1"/>
  <c r="B829" i="1"/>
  <c r="C829" i="1"/>
  <c r="D829" i="1"/>
  <c r="E829" i="1"/>
  <c r="A830" i="1"/>
  <c r="B830" i="1"/>
  <c r="C830" i="1"/>
  <c r="D830" i="1"/>
  <c r="E830" i="1"/>
  <c r="A831" i="1"/>
  <c r="B831" i="1"/>
  <c r="C831" i="1"/>
  <c r="D831" i="1"/>
  <c r="E831" i="1"/>
  <c r="A832" i="1"/>
  <c r="B832" i="1"/>
  <c r="C832" i="1"/>
  <c r="D832" i="1"/>
  <c r="E832" i="1"/>
  <c r="A833" i="1"/>
  <c r="B833" i="1"/>
  <c r="C833" i="1"/>
  <c r="D833" i="1"/>
  <c r="E833" i="1"/>
  <c r="A834" i="1"/>
  <c r="B834" i="1"/>
  <c r="C834" i="1"/>
  <c r="D834" i="1"/>
  <c r="E834" i="1"/>
  <c r="A835" i="1"/>
  <c r="B835" i="1"/>
  <c r="C835" i="1"/>
  <c r="D835" i="1"/>
  <c r="E835" i="1"/>
  <c r="A836" i="1"/>
  <c r="B836" i="1"/>
  <c r="C836" i="1"/>
  <c r="D836" i="1"/>
  <c r="E836" i="1"/>
  <c r="A837" i="1"/>
  <c r="B837" i="1"/>
  <c r="C837" i="1"/>
  <c r="D837" i="1"/>
  <c r="E837" i="1"/>
  <c r="A838" i="1"/>
  <c r="B838" i="1"/>
  <c r="C838" i="1"/>
  <c r="D838" i="1"/>
  <c r="E838" i="1"/>
  <c r="A839" i="1"/>
  <c r="B839" i="1"/>
  <c r="C839" i="1"/>
  <c r="D839" i="1"/>
  <c r="E839" i="1"/>
  <c r="A840" i="1"/>
  <c r="B840" i="1"/>
  <c r="C840" i="1"/>
  <c r="D840" i="1"/>
  <c r="E840" i="1"/>
  <c r="A841" i="1"/>
  <c r="B841" i="1"/>
  <c r="C841" i="1"/>
  <c r="D841" i="1"/>
  <c r="E841" i="1"/>
  <c r="A842" i="1"/>
  <c r="B842" i="1"/>
  <c r="C842" i="1"/>
  <c r="D842" i="1"/>
  <c r="E842" i="1"/>
  <c r="A843" i="1"/>
  <c r="B843" i="1"/>
  <c r="C843" i="1"/>
  <c r="D843" i="1"/>
  <c r="E843" i="1"/>
  <c r="A844" i="1"/>
  <c r="B844" i="1"/>
  <c r="C844" i="1"/>
  <c r="D844" i="1"/>
  <c r="E844" i="1"/>
  <c r="A845" i="1"/>
  <c r="B845" i="1"/>
  <c r="C845" i="1"/>
  <c r="D845" i="1"/>
  <c r="E845" i="1"/>
  <c r="A846" i="1"/>
  <c r="B846" i="1"/>
  <c r="C846" i="1"/>
  <c r="D846" i="1"/>
  <c r="E846" i="1"/>
  <c r="A847" i="1"/>
  <c r="B847" i="1"/>
  <c r="C847" i="1"/>
  <c r="D847" i="1"/>
  <c r="E847" i="1"/>
  <c r="A848" i="1"/>
  <c r="B848" i="1"/>
  <c r="C848" i="1"/>
  <c r="D848" i="1"/>
  <c r="E848" i="1"/>
  <c r="A849" i="1"/>
  <c r="B849" i="1"/>
  <c r="C849" i="1"/>
  <c r="D849" i="1"/>
  <c r="E849" i="1"/>
  <c r="A850" i="1"/>
  <c r="B850" i="1"/>
  <c r="C850" i="1"/>
  <c r="D850" i="1"/>
  <c r="E850" i="1"/>
  <c r="A851" i="1"/>
  <c r="B851" i="1"/>
  <c r="C851" i="1"/>
  <c r="D851" i="1"/>
  <c r="E851" i="1"/>
  <c r="A852" i="1"/>
  <c r="B852" i="1"/>
  <c r="C852" i="1"/>
  <c r="D852" i="1"/>
  <c r="E852" i="1"/>
  <c r="A853" i="1"/>
  <c r="B853" i="1"/>
  <c r="C853" i="1"/>
  <c r="D853" i="1"/>
  <c r="E853" i="1"/>
  <c r="A854" i="1"/>
  <c r="B854" i="1"/>
  <c r="C854" i="1"/>
  <c r="D854" i="1"/>
  <c r="E854" i="1"/>
  <c r="A855" i="1"/>
  <c r="B855" i="1"/>
  <c r="C855" i="1"/>
  <c r="D855" i="1"/>
  <c r="E855" i="1"/>
  <c r="A856" i="1"/>
  <c r="B856" i="1"/>
  <c r="C856" i="1"/>
  <c r="D856" i="1"/>
  <c r="E856" i="1"/>
  <c r="A857" i="1"/>
  <c r="B857" i="1"/>
  <c r="C857" i="1"/>
  <c r="D857" i="1"/>
  <c r="E857" i="1"/>
  <c r="A858" i="1"/>
  <c r="B858" i="1"/>
  <c r="C858" i="1"/>
  <c r="D858" i="1"/>
  <c r="E858" i="1"/>
  <c r="A859" i="1"/>
  <c r="B859" i="1"/>
  <c r="C859" i="1"/>
  <c r="D859" i="1"/>
  <c r="E859" i="1"/>
  <c r="A860" i="1"/>
  <c r="B860" i="1"/>
  <c r="C860" i="1"/>
  <c r="D860" i="1"/>
  <c r="E860" i="1"/>
  <c r="A861" i="1"/>
  <c r="B861" i="1"/>
  <c r="C861" i="1"/>
  <c r="D861" i="1"/>
  <c r="E861" i="1"/>
  <c r="A862" i="1"/>
  <c r="B862" i="1"/>
  <c r="C862" i="1"/>
  <c r="D862" i="1"/>
  <c r="E862" i="1"/>
  <c r="A863" i="1"/>
  <c r="B863" i="1"/>
  <c r="C863" i="1"/>
  <c r="D863" i="1"/>
  <c r="E863" i="1"/>
  <c r="A864" i="1"/>
  <c r="B864" i="1"/>
  <c r="C864" i="1"/>
  <c r="D864" i="1"/>
  <c r="E864" i="1"/>
  <c r="A865" i="1"/>
  <c r="B865" i="1"/>
  <c r="C865" i="1"/>
  <c r="D865" i="1"/>
  <c r="E865" i="1"/>
  <c r="A866" i="1"/>
  <c r="B866" i="1"/>
  <c r="C866" i="1"/>
  <c r="D866" i="1"/>
  <c r="E866" i="1"/>
  <c r="A867" i="1"/>
  <c r="B867" i="1"/>
  <c r="C867" i="1"/>
  <c r="D867" i="1"/>
  <c r="E867" i="1"/>
  <c r="A868" i="1"/>
  <c r="B868" i="1"/>
  <c r="C868" i="1"/>
  <c r="D868" i="1"/>
  <c r="E868" i="1"/>
  <c r="A869" i="1"/>
  <c r="B869" i="1"/>
  <c r="C869" i="1"/>
  <c r="D869" i="1"/>
  <c r="E869" i="1"/>
  <c r="A870" i="1"/>
  <c r="B870" i="1"/>
  <c r="C870" i="1"/>
  <c r="D870" i="1"/>
  <c r="E870" i="1"/>
  <c r="A871" i="1"/>
  <c r="B871" i="1"/>
  <c r="C871" i="1"/>
  <c r="D871" i="1"/>
  <c r="E871" i="1"/>
  <c r="A872" i="1"/>
  <c r="B872" i="1"/>
  <c r="C872" i="1"/>
  <c r="D872" i="1"/>
  <c r="E872" i="1"/>
  <c r="A873" i="1"/>
  <c r="B873" i="1"/>
  <c r="C873" i="1"/>
  <c r="D873" i="1"/>
  <c r="E873" i="1"/>
  <c r="A874" i="1"/>
  <c r="B874" i="1"/>
  <c r="C874" i="1"/>
  <c r="D874" i="1"/>
  <c r="E874" i="1"/>
  <c r="A875" i="1"/>
  <c r="B875" i="1"/>
  <c r="C875" i="1"/>
  <c r="D875" i="1"/>
  <c r="E875" i="1"/>
  <c r="A876" i="1"/>
  <c r="B876" i="1"/>
  <c r="C876" i="1"/>
  <c r="D876" i="1"/>
  <c r="E876" i="1"/>
  <c r="A877" i="1"/>
  <c r="B877" i="1"/>
  <c r="C877" i="1"/>
  <c r="D877" i="1"/>
  <c r="E877" i="1"/>
  <c r="A878" i="1"/>
  <c r="B878" i="1"/>
  <c r="C878" i="1"/>
  <c r="D878" i="1"/>
  <c r="E878" i="1"/>
  <c r="A879" i="1"/>
  <c r="B879" i="1"/>
  <c r="C879" i="1"/>
  <c r="D879" i="1"/>
  <c r="E879" i="1"/>
  <c r="A880" i="1"/>
  <c r="B880" i="1"/>
  <c r="C880" i="1"/>
  <c r="D880" i="1"/>
  <c r="E880" i="1"/>
  <c r="A881" i="1"/>
  <c r="B881" i="1"/>
  <c r="C881" i="1"/>
  <c r="D881" i="1"/>
  <c r="E881" i="1"/>
  <c r="A882" i="1"/>
  <c r="B882" i="1"/>
  <c r="C882" i="1"/>
  <c r="D882" i="1"/>
  <c r="E882" i="1"/>
  <c r="A883" i="1"/>
  <c r="B883" i="1"/>
  <c r="C883" i="1"/>
  <c r="D883" i="1"/>
  <c r="E883" i="1"/>
  <c r="A884" i="1"/>
  <c r="B884" i="1"/>
  <c r="C884" i="1"/>
  <c r="D884" i="1"/>
  <c r="E884" i="1"/>
  <c r="A885" i="1"/>
  <c r="B885" i="1"/>
  <c r="C885" i="1"/>
  <c r="D885" i="1"/>
  <c r="E885" i="1"/>
  <c r="A886" i="1"/>
  <c r="B886" i="1"/>
  <c r="C886" i="1"/>
  <c r="D886" i="1"/>
  <c r="E886" i="1"/>
  <c r="A887" i="1"/>
  <c r="B887" i="1"/>
  <c r="C887" i="1"/>
  <c r="D887" i="1"/>
  <c r="E887" i="1"/>
  <c r="A888" i="1"/>
  <c r="B888" i="1"/>
  <c r="C888" i="1"/>
  <c r="D888" i="1"/>
  <c r="E888" i="1"/>
  <c r="A889" i="1"/>
  <c r="B889" i="1"/>
  <c r="C889" i="1"/>
  <c r="D889" i="1"/>
  <c r="E889" i="1"/>
  <c r="A890" i="1"/>
  <c r="B890" i="1"/>
  <c r="C890" i="1"/>
  <c r="D890" i="1"/>
  <c r="E890" i="1"/>
  <c r="A891" i="1"/>
  <c r="B891" i="1"/>
  <c r="C891" i="1"/>
  <c r="D891" i="1"/>
  <c r="E891" i="1"/>
  <c r="A892" i="1"/>
  <c r="B892" i="1"/>
  <c r="C892" i="1"/>
  <c r="D892" i="1"/>
  <c r="E892" i="1"/>
  <c r="A893" i="1"/>
  <c r="B893" i="1"/>
  <c r="C893" i="1"/>
  <c r="D893" i="1"/>
  <c r="E893" i="1"/>
  <c r="A894" i="1"/>
  <c r="B894" i="1"/>
  <c r="C894" i="1"/>
  <c r="D894" i="1"/>
  <c r="E894" i="1"/>
  <c r="A895" i="1"/>
  <c r="B895" i="1"/>
  <c r="C895" i="1"/>
  <c r="D895" i="1"/>
  <c r="E895" i="1"/>
  <c r="A896" i="1"/>
  <c r="B896" i="1"/>
  <c r="C896" i="1"/>
  <c r="D896" i="1"/>
  <c r="E896" i="1"/>
  <c r="A897" i="1"/>
  <c r="B897" i="1"/>
  <c r="C897" i="1"/>
  <c r="D897" i="1"/>
  <c r="E897" i="1"/>
  <c r="A898" i="1"/>
  <c r="B898" i="1"/>
  <c r="C898" i="1"/>
  <c r="D898" i="1"/>
  <c r="E898" i="1"/>
  <c r="A899" i="1"/>
  <c r="B899" i="1"/>
  <c r="C899" i="1"/>
  <c r="D899" i="1"/>
  <c r="E899" i="1"/>
  <c r="A900" i="1"/>
  <c r="B900" i="1"/>
  <c r="C900" i="1"/>
  <c r="D900" i="1"/>
  <c r="E900" i="1"/>
  <c r="A901" i="1"/>
  <c r="B901" i="1"/>
  <c r="C901" i="1"/>
  <c r="D901" i="1"/>
  <c r="E901" i="1"/>
  <c r="A902" i="1"/>
  <c r="B902" i="1"/>
  <c r="C902" i="1"/>
  <c r="D902" i="1"/>
  <c r="E902" i="1"/>
  <c r="A903" i="1"/>
  <c r="B903" i="1"/>
  <c r="C903" i="1"/>
  <c r="D903" i="1"/>
  <c r="E903" i="1"/>
  <c r="A904" i="1"/>
  <c r="B904" i="1"/>
  <c r="C904" i="1"/>
  <c r="D904" i="1"/>
  <c r="E904" i="1"/>
  <c r="A905" i="1"/>
  <c r="B905" i="1"/>
  <c r="C905" i="1"/>
  <c r="D905" i="1"/>
  <c r="E905" i="1"/>
  <c r="A906" i="1"/>
  <c r="B906" i="1"/>
  <c r="C906" i="1"/>
  <c r="D906" i="1"/>
  <c r="E906" i="1"/>
  <c r="A907" i="1"/>
  <c r="B907" i="1"/>
  <c r="C907" i="1"/>
  <c r="D907" i="1"/>
  <c r="E907" i="1"/>
  <c r="A908" i="1"/>
  <c r="B908" i="1"/>
  <c r="C908" i="1"/>
  <c r="D908" i="1"/>
  <c r="E908" i="1"/>
  <c r="A909" i="1"/>
  <c r="B909" i="1"/>
  <c r="C909" i="1"/>
  <c r="D909" i="1"/>
  <c r="E909" i="1"/>
  <c r="A910" i="1"/>
  <c r="B910" i="1"/>
  <c r="C910" i="1"/>
  <c r="D910" i="1"/>
  <c r="E910" i="1"/>
  <c r="A911" i="1"/>
  <c r="B911" i="1"/>
  <c r="C911" i="1"/>
  <c r="D911" i="1"/>
  <c r="E911" i="1"/>
  <c r="A912" i="1"/>
  <c r="B912" i="1"/>
  <c r="C912" i="1"/>
  <c r="D912" i="1"/>
  <c r="E912" i="1"/>
  <c r="A913" i="1"/>
  <c r="B913" i="1"/>
  <c r="C913" i="1"/>
  <c r="D913" i="1"/>
  <c r="E913" i="1"/>
  <c r="A914" i="1"/>
  <c r="B914" i="1"/>
  <c r="C914" i="1"/>
  <c r="D914" i="1"/>
  <c r="E914" i="1"/>
  <c r="A915" i="1"/>
  <c r="B915" i="1"/>
  <c r="C915" i="1"/>
  <c r="D915" i="1"/>
  <c r="E915" i="1"/>
  <c r="A916" i="1"/>
  <c r="B916" i="1"/>
  <c r="C916" i="1"/>
  <c r="D916" i="1"/>
  <c r="E916" i="1"/>
  <c r="A917" i="1"/>
  <c r="B917" i="1"/>
  <c r="C917" i="1"/>
  <c r="D917" i="1"/>
  <c r="E917" i="1"/>
  <c r="A918" i="1"/>
  <c r="B918" i="1"/>
  <c r="C918" i="1"/>
  <c r="D918" i="1"/>
  <c r="E918" i="1"/>
  <c r="A919" i="1"/>
  <c r="B919" i="1"/>
  <c r="C919" i="1"/>
  <c r="D919" i="1"/>
  <c r="E919" i="1"/>
  <c r="A920" i="1"/>
  <c r="B920" i="1"/>
  <c r="C920" i="1"/>
  <c r="D920" i="1"/>
  <c r="E920" i="1"/>
  <c r="A921" i="1"/>
  <c r="B921" i="1"/>
  <c r="C921" i="1"/>
  <c r="D921" i="1"/>
  <c r="E921" i="1"/>
  <c r="A922" i="1"/>
  <c r="B922" i="1"/>
  <c r="C922" i="1"/>
  <c r="D922" i="1"/>
  <c r="E922" i="1"/>
  <c r="A923" i="1"/>
  <c r="B923" i="1"/>
  <c r="C923" i="1"/>
  <c r="D923" i="1"/>
  <c r="E923" i="1"/>
  <c r="A924" i="1"/>
  <c r="B924" i="1"/>
  <c r="C924" i="1"/>
  <c r="D924" i="1"/>
  <c r="E924" i="1"/>
  <c r="A925" i="1"/>
  <c r="B925" i="1"/>
  <c r="C925" i="1"/>
  <c r="D925" i="1"/>
  <c r="E925" i="1"/>
  <c r="A926" i="1"/>
  <c r="B926" i="1"/>
  <c r="C926" i="1"/>
  <c r="D926" i="1"/>
  <c r="E926" i="1"/>
  <c r="A927" i="1"/>
  <c r="B927" i="1"/>
  <c r="C927" i="1"/>
  <c r="D927" i="1"/>
  <c r="E927" i="1"/>
  <c r="A928" i="1"/>
  <c r="B928" i="1"/>
  <c r="C928" i="1"/>
  <c r="D928" i="1"/>
  <c r="E928" i="1"/>
  <c r="A929" i="1"/>
  <c r="B929" i="1"/>
  <c r="C929" i="1"/>
  <c r="D929" i="1"/>
  <c r="E929" i="1"/>
  <c r="A930" i="1"/>
  <c r="B930" i="1"/>
  <c r="C930" i="1"/>
  <c r="D930" i="1"/>
  <c r="E930" i="1"/>
  <c r="A931" i="1"/>
  <c r="B931" i="1"/>
  <c r="C931" i="1"/>
  <c r="D931" i="1"/>
  <c r="E931" i="1"/>
  <c r="A932" i="1"/>
  <c r="B932" i="1"/>
  <c r="C932" i="1"/>
  <c r="D932" i="1"/>
  <c r="E932" i="1"/>
  <c r="A933" i="1"/>
  <c r="B933" i="1"/>
  <c r="C933" i="1"/>
  <c r="D933" i="1"/>
  <c r="E933" i="1"/>
  <c r="A934" i="1"/>
  <c r="B934" i="1"/>
  <c r="C934" i="1"/>
  <c r="D934" i="1"/>
  <c r="E934" i="1"/>
  <c r="A935" i="1"/>
  <c r="B935" i="1"/>
  <c r="C935" i="1"/>
  <c r="D935" i="1"/>
  <c r="E935" i="1"/>
  <c r="A936" i="1"/>
  <c r="B936" i="1"/>
  <c r="C936" i="1"/>
  <c r="D936" i="1"/>
  <c r="E936" i="1"/>
  <c r="A937" i="1"/>
  <c r="B937" i="1"/>
  <c r="C937" i="1"/>
  <c r="D937" i="1"/>
  <c r="E937" i="1"/>
  <c r="A938" i="1"/>
  <c r="B938" i="1"/>
  <c r="C938" i="1"/>
  <c r="D938" i="1"/>
  <c r="E938" i="1"/>
  <c r="A939" i="1"/>
  <c r="B939" i="1"/>
  <c r="C939" i="1"/>
  <c r="D939" i="1"/>
  <c r="E939" i="1"/>
  <c r="A940" i="1"/>
  <c r="B940" i="1"/>
  <c r="C940" i="1"/>
  <c r="D940" i="1"/>
  <c r="E940" i="1"/>
  <c r="A941" i="1"/>
  <c r="B941" i="1"/>
  <c r="C941" i="1"/>
  <c r="D941" i="1"/>
  <c r="E941" i="1"/>
  <c r="A942" i="1"/>
  <c r="B942" i="1"/>
  <c r="C942" i="1"/>
  <c r="D942" i="1"/>
  <c r="E942" i="1"/>
  <c r="A943" i="1"/>
  <c r="B943" i="1"/>
  <c r="C943" i="1"/>
  <c r="D943" i="1"/>
  <c r="E943" i="1"/>
  <c r="A944" i="1"/>
  <c r="B944" i="1"/>
  <c r="C944" i="1"/>
  <c r="D944" i="1"/>
  <c r="E944" i="1"/>
  <c r="A945" i="1"/>
  <c r="B945" i="1"/>
  <c r="C945" i="1"/>
  <c r="D945" i="1"/>
  <c r="E945" i="1"/>
  <c r="A946" i="1"/>
  <c r="B946" i="1"/>
  <c r="C946" i="1"/>
  <c r="D946" i="1"/>
  <c r="E946" i="1"/>
  <c r="A947" i="1"/>
  <c r="B947" i="1"/>
  <c r="C947" i="1"/>
  <c r="D947" i="1"/>
  <c r="E947" i="1"/>
  <c r="A948" i="1"/>
  <c r="B948" i="1"/>
  <c r="C948" i="1"/>
  <c r="D948" i="1"/>
  <c r="E948" i="1"/>
  <c r="A949" i="1"/>
  <c r="B949" i="1"/>
  <c r="C949" i="1"/>
  <c r="D949" i="1"/>
  <c r="E949" i="1"/>
  <c r="A950" i="1"/>
  <c r="B950" i="1"/>
  <c r="C950" i="1"/>
  <c r="D950" i="1"/>
  <c r="E950" i="1"/>
  <c r="A951" i="1"/>
  <c r="B951" i="1"/>
  <c r="C951" i="1"/>
  <c r="D951" i="1"/>
  <c r="E951" i="1"/>
  <c r="A952" i="1"/>
  <c r="B952" i="1"/>
  <c r="C952" i="1"/>
  <c r="D952" i="1"/>
  <c r="E952" i="1"/>
  <c r="A953" i="1"/>
  <c r="B953" i="1"/>
  <c r="C953" i="1"/>
  <c r="D953" i="1"/>
  <c r="E953" i="1"/>
  <c r="A954" i="1"/>
  <c r="B954" i="1"/>
  <c r="C954" i="1"/>
  <c r="D954" i="1"/>
  <c r="E954" i="1"/>
  <c r="A955" i="1"/>
  <c r="B955" i="1"/>
  <c r="C955" i="1"/>
  <c r="D955" i="1"/>
  <c r="E955" i="1"/>
  <c r="A956" i="1"/>
  <c r="B956" i="1"/>
  <c r="C956" i="1"/>
  <c r="D956" i="1"/>
  <c r="E956" i="1"/>
  <c r="A957" i="1"/>
  <c r="B957" i="1"/>
  <c r="C957" i="1"/>
  <c r="D957" i="1"/>
  <c r="E957" i="1"/>
  <c r="A958" i="1"/>
  <c r="B958" i="1"/>
  <c r="C958" i="1"/>
  <c r="D958" i="1"/>
  <c r="E958" i="1"/>
  <c r="A959" i="1"/>
  <c r="B959" i="1"/>
  <c r="C959" i="1"/>
  <c r="D959" i="1"/>
  <c r="E959" i="1"/>
  <c r="A960" i="1"/>
  <c r="B960" i="1"/>
  <c r="C960" i="1"/>
  <c r="D960" i="1"/>
  <c r="E960" i="1"/>
  <c r="A961" i="1"/>
  <c r="B961" i="1"/>
  <c r="C961" i="1"/>
  <c r="D961" i="1"/>
  <c r="E961" i="1"/>
  <c r="A962" i="1"/>
  <c r="B962" i="1"/>
  <c r="C962" i="1"/>
  <c r="D962" i="1"/>
  <c r="E962" i="1"/>
  <c r="A963" i="1"/>
  <c r="B963" i="1"/>
  <c r="C963" i="1"/>
  <c r="D963" i="1"/>
  <c r="E963" i="1"/>
  <c r="A964" i="1"/>
  <c r="B964" i="1"/>
  <c r="C964" i="1"/>
  <c r="D964" i="1"/>
  <c r="E964" i="1"/>
  <c r="A965" i="1"/>
  <c r="B965" i="1"/>
  <c r="C965" i="1"/>
  <c r="D965" i="1"/>
  <c r="E965" i="1"/>
  <c r="A966" i="1"/>
  <c r="B966" i="1"/>
  <c r="C966" i="1"/>
  <c r="D966" i="1"/>
  <c r="E966" i="1"/>
  <c r="A967" i="1"/>
  <c r="B967" i="1"/>
  <c r="C967" i="1"/>
  <c r="D967" i="1"/>
  <c r="E967" i="1"/>
  <c r="A968" i="1"/>
  <c r="B968" i="1"/>
  <c r="C968" i="1"/>
  <c r="D968" i="1"/>
  <c r="E968" i="1"/>
  <c r="A969" i="1"/>
  <c r="B969" i="1"/>
  <c r="C969" i="1"/>
  <c r="D969" i="1"/>
  <c r="E969" i="1"/>
  <c r="A970" i="1"/>
  <c r="B970" i="1"/>
  <c r="C970" i="1"/>
  <c r="D970" i="1"/>
  <c r="E970" i="1"/>
  <c r="A971" i="1"/>
  <c r="B971" i="1"/>
  <c r="C971" i="1"/>
  <c r="D971" i="1"/>
  <c r="E971" i="1"/>
  <c r="A972" i="1"/>
  <c r="B972" i="1"/>
  <c r="C972" i="1"/>
  <c r="D972" i="1"/>
  <c r="E972" i="1"/>
  <c r="A973" i="1"/>
  <c r="B973" i="1"/>
  <c r="C973" i="1"/>
  <c r="D973" i="1"/>
  <c r="E973" i="1"/>
  <c r="A974" i="1"/>
  <c r="B974" i="1"/>
  <c r="C974" i="1"/>
  <c r="D974" i="1"/>
  <c r="E974" i="1"/>
  <c r="A975" i="1"/>
  <c r="B975" i="1"/>
  <c r="C975" i="1"/>
  <c r="D975" i="1"/>
  <c r="E975" i="1"/>
  <c r="A976" i="1"/>
  <c r="B976" i="1"/>
  <c r="C976" i="1"/>
  <c r="D976" i="1"/>
  <c r="E976" i="1"/>
  <c r="A977" i="1"/>
  <c r="B977" i="1"/>
  <c r="C977" i="1"/>
  <c r="D977" i="1"/>
  <c r="E977" i="1"/>
  <c r="A978" i="1"/>
  <c r="B978" i="1"/>
  <c r="C978" i="1"/>
  <c r="D978" i="1"/>
  <c r="E978" i="1"/>
  <c r="A979" i="1"/>
  <c r="B979" i="1"/>
  <c r="C979" i="1"/>
  <c r="D979" i="1"/>
  <c r="E979" i="1"/>
  <c r="A980" i="1"/>
  <c r="B980" i="1"/>
  <c r="C980" i="1"/>
  <c r="D980" i="1"/>
  <c r="E980" i="1"/>
  <c r="A981" i="1"/>
  <c r="B981" i="1"/>
  <c r="C981" i="1"/>
  <c r="D981" i="1"/>
  <c r="E981" i="1"/>
  <c r="A982" i="1"/>
  <c r="B982" i="1"/>
  <c r="C982" i="1"/>
  <c r="D982" i="1"/>
  <c r="E982" i="1"/>
  <c r="A983" i="1"/>
  <c r="B983" i="1"/>
  <c r="C983" i="1"/>
  <c r="D983" i="1"/>
  <c r="E983" i="1"/>
  <c r="A984" i="1"/>
  <c r="B984" i="1"/>
  <c r="C984" i="1"/>
  <c r="D984" i="1"/>
  <c r="E984" i="1"/>
  <c r="A985" i="1"/>
  <c r="B985" i="1"/>
  <c r="C985" i="1"/>
  <c r="D985" i="1"/>
  <c r="E985" i="1"/>
  <c r="A986" i="1"/>
  <c r="B986" i="1"/>
  <c r="C986" i="1"/>
  <c r="D986" i="1"/>
  <c r="E986" i="1"/>
  <c r="A987" i="1"/>
  <c r="B987" i="1"/>
  <c r="C987" i="1"/>
  <c r="D987" i="1"/>
  <c r="E987" i="1"/>
  <c r="A988" i="1"/>
  <c r="B988" i="1"/>
  <c r="C988" i="1"/>
  <c r="D988" i="1"/>
  <c r="E988" i="1"/>
  <c r="A989" i="1"/>
  <c r="B989" i="1"/>
  <c r="C989" i="1"/>
  <c r="D989" i="1"/>
  <c r="E989" i="1"/>
  <c r="A990" i="1"/>
  <c r="B990" i="1"/>
  <c r="C990" i="1"/>
  <c r="D990" i="1"/>
  <c r="E990" i="1"/>
  <c r="A991" i="1"/>
  <c r="B991" i="1"/>
  <c r="C991" i="1"/>
  <c r="D991" i="1"/>
  <c r="E991" i="1"/>
  <c r="A992" i="1"/>
  <c r="B992" i="1"/>
  <c r="C992" i="1"/>
  <c r="D992" i="1"/>
  <c r="E992" i="1"/>
  <c r="A993" i="1"/>
  <c r="B993" i="1"/>
  <c r="C993" i="1"/>
  <c r="D993" i="1"/>
  <c r="E993" i="1"/>
  <c r="A994" i="1"/>
  <c r="B994" i="1"/>
  <c r="C994" i="1"/>
  <c r="D994" i="1"/>
  <c r="E994" i="1"/>
  <c r="A995" i="1"/>
  <c r="B995" i="1"/>
  <c r="C995" i="1"/>
  <c r="D995" i="1"/>
  <c r="E995" i="1"/>
  <c r="A996" i="1"/>
  <c r="B996" i="1"/>
  <c r="C996" i="1"/>
  <c r="D996" i="1"/>
  <c r="E996" i="1"/>
  <c r="A997" i="1"/>
  <c r="B997" i="1"/>
  <c r="C997" i="1"/>
  <c r="D997" i="1"/>
  <c r="E997" i="1"/>
  <c r="A998" i="1"/>
  <c r="B998" i="1"/>
  <c r="C998" i="1"/>
  <c r="D998" i="1"/>
  <c r="E998" i="1"/>
  <c r="A999" i="1"/>
  <c r="B999" i="1"/>
  <c r="C999" i="1"/>
  <c r="D999" i="1"/>
  <c r="E999" i="1"/>
  <c r="A1000" i="1"/>
  <c r="B1000" i="1"/>
  <c r="C1000" i="1"/>
  <c r="D1000" i="1"/>
  <c r="E1000" i="1"/>
  <c r="A1001" i="1"/>
  <c r="B1001" i="1"/>
  <c r="C1001" i="1"/>
  <c r="D1001" i="1"/>
  <c r="E1001" i="1"/>
  <c r="A1002" i="1"/>
  <c r="B1002" i="1"/>
  <c r="C1002" i="1"/>
  <c r="D1002" i="1"/>
  <c r="E1002" i="1"/>
  <c r="A1003" i="1"/>
  <c r="B1003" i="1"/>
  <c r="C1003" i="1"/>
  <c r="D1003" i="1"/>
  <c r="E1003" i="1"/>
  <c r="A1004" i="1"/>
  <c r="B1004" i="1"/>
  <c r="C1004" i="1"/>
  <c r="D1004" i="1"/>
  <c r="E1004" i="1"/>
  <c r="A1005" i="1"/>
  <c r="B1005" i="1"/>
  <c r="C1005" i="1"/>
  <c r="D1005" i="1"/>
  <c r="E1005" i="1"/>
  <c r="A1006" i="1"/>
  <c r="B1006" i="1"/>
  <c r="C1006" i="1"/>
  <c r="D1006" i="1"/>
  <c r="E1006" i="1"/>
  <c r="A1007" i="1"/>
  <c r="B1007" i="1"/>
  <c r="C1007" i="1"/>
  <c r="D1007" i="1"/>
  <c r="E1007" i="1"/>
  <c r="A1008" i="1"/>
  <c r="B1008" i="1"/>
  <c r="C1008" i="1"/>
  <c r="D1008" i="1"/>
  <c r="E1008" i="1"/>
  <c r="A1009" i="1"/>
  <c r="B1009" i="1"/>
  <c r="C1009" i="1"/>
  <c r="D1009" i="1"/>
  <c r="E1009" i="1"/>
  <c r="A1010" i="1"/>
  <c r="B1010" i="1"/>
  <c r="C1010" i="1"/>
  <c r="D1010" i="1"/>
  <c r="E1010" i="1"/>
  <c r="A1011" i="1"/>
  <c r="B1011" i="1"/>
  <c r="C1011" i="1"/>
  <c r="D1011" i="1"/>
  <c r="E1011" i="1"/>
  <c r="A1012" i="1"/>
  <c r="B1012" i="1"/>
  <c r="C1012" i="1"/>
  <c r="D1012" i="1"/>
  <c r="E1012" i="1"/>
  <c r="A1013" i="1"/>
  <c r="B1013" i="1"/>
  <c r="C1013" i="1"/>
  <c r="D1013" i="1"/>
  <c r="E1013" i="1"/>
  <c r="A1014" i="1"/>
  <c r="B1014" i="1"/>
  <c r="C1014" i="1"/>
  <c r="D1014" i="1"/>
  <c r="E1014" i="1"/>
  <c r="A1015" i="1"/>
  <c r="B1015" i="1"/>
  <c r="C1015" i="1"/>
  <c r="D1015" i="1"/>
  <c r="E1015" i="1"/>
  <c r="A1016" i="1"/>
  <c r="B1016" i="1"/>
  <c r="C1016" i="1"/>
  <c r="D1016" i="1"/>
  <c r="E1016" i="1"/>
  <c r="A1017" i="1"/>
  <c r="B1017" i="1"/>
  <c r="C1017" i="1"/>
  <c r="D1017" i="1"/>
  <c r="E1017" i="1"/>
  <c r="A1018" i="1"/>
  <c r="B1018" i="1"/>
  <c r="C1018" i="1"/>
  <c r="D1018" i="1"/>
  <c r="E1018" i="1"/>
  <c r="A1019" i="1"/>
  <c r="B1019" i="1"/>
  <c r="C1019" i="1"/>
  <c r="D1019" i="1"/>
  <c r="E1019" i="1"/>
  <c r="A1020" i="1"/>
  <c r="B1020" i="1"/>
  <c r="C1020" i="1"/>
  <c r="D1020" i="1"/>
  <c r="E1020" i="1"/>
  <c r="A1021" i="1"/>
  <c r="B1021" i="1"/>
  <c r="C1021" i="1"/>
  <c r="D1021" i="1"/>
  <c r="E1021" i="1"/>
  <c r="A1022" i="1"/>
  <c r="B1022" i="1"/>
  <c r="C1022" i="1"/>
  <c r="D1022" i="1"/>
  <c r="E1022" i="1"/>
  <c r="A1023" i="1"/>
  <c r="B1023" i="1"/>
  <c r="C1023" i="1"/>
  <c r="D1023" i="1"/>
  <c r="E1023" i="1"/>
  <c r="A1024" i="1"/>
  <c r="B1024" i="1"/>
  <c r="C1024" i="1"/>
  <c r="D1024" i="1"/>
  <c r="E1024" i="1"/>
  <c r="A1025" i="1"/>
  <c r="B1025" i="1"/>
  <c r="C1025" i="1"/>
  <c r="D1025" i="1"/>
  <c r="E1025" i="1"/>
  <c r="A1026" i="1"/>
  <c r="B1026" i="1"/>
  <c r="C1026" i="1"/>
  <c r="D1026" i="1"/>
  <c r="E1026" i="1"/>
  <c r="A1027" i="1"/>
  <c r="B1027" i="1"/>
  <c r="C1027" i="1"/>
  <c r="D1027" i="1"/>
  <c r="E1027" i="1"/>
  <c r="A1028" i="1"/>
  <c r="B1028" i="1"/>
  <c r="C1028" i="1"/>
  <c r="D1028" i="1"/>
  <c r="E1028" i="1"/>
  <c r="A1029" i="1"/>
  <c r="B1029" i="1"/>
  <c r="C1029" i="1"/>
  <c r="D1029" i="1"/>
  <c r="E1029" i="1"/>
  <c r="A1030" i="1"/>
  <c r="B1030" i="1"/>
  <c r="C1030" i="1"/>
  <c r="D1030" i="1"/>
  <c r="E1030" i="1"/>
  <c r="A1031" i="1"/>
  <c r="B1031" i="1"/>
  <c r="C1031" i="1"/>
  <c r="D1031" i="1"/>
  <c r="E1031" i="1"/>
  <c r="A1032" i="1"/>
  <c r="B1032" i="1"/>
  <c r="C1032" i="1"/>
  <c r="D1032" i="1"/>
  <c r="E1032" i="1"/>
  <c r="A1033" i="1"/>
  <c r="B1033" i="1"/>
  <c r="C1033" i="1"/>
  <c r="D1033" i="1"/>
  <c r="E1033" i="1"/>
  <c r="A1034" i="1"/>
  <c r="B1034" i="1"/>
  <c r="C1034" i="1"/>
  <c r="D1034" i="1"/>
  <c r="E1034" i="1"/>
  <c r="A1035" i="1"/>
  <c r="B1035" i="1"/>
  <c r="C1035" i="1"/>
  <c r="D1035" i="1"/>
  <c r="E1035" i="1"/>
  <c r="A1036" i="1"/>
  <c r="B1036" i="1"/>
  <c r="C1036" i="1"/>
  <c r="D1036" i="1"/>
  <c r="E1036" i="1"/>
  <c r="A1037" i="1"/>
  <c r="B1037" i="1"/>
  <c r="C1037" i="1"/>
  <c r="D1037" i="1"/>
  <c r="E1037" i="1"/>
  <c r="A1038" i="1"/>
  <c r="B1038" i="1"/>
  <c r="C1038" i="1"/>
  <c r="D1038" i="1"/>
  <c r="E1038" i="1"/>
  <c r="A1039" i="1"/>
  <c r="B1039" i="1"/>
  <c r="C1039" i="1"/>
  <c r="D1039" i="1"/>
  <c r="E1039" i="1"/>
  <c r="A1040" i="1"/>
  <c r="B1040" i="1"/>
  <c r="C1040" i="1"/>
  <c r="D1040" i="1"/>
  <c r="E1040" i="1"/>
  <c r="A1041" i="1"/>
  <c r="B1041" i="1"/>
  <c r="C1041" i="1"/>
  <c r="D1041" i="1"/>
  <c r="E1041" i="1"/>
  <c r="A1042" i="1"/>
  <c r="B1042" i="1"/>
  <c r="C1042" i="1"/>
  <c r="D1042" i="1"/>
  <c r="E1042" i="1"/>
  <c r="A1043" i="1"/>
  <c r="B1043" i="1"/>
  <c r="C1043" i="1"/>
  <c r="D1043" i="1"/>
  <c r="E1043" i="1"/>
  <c r="A1044" i="1"/>
  <c r="B1044" i="1"/>
  <c r="C1044" i="1"/>
  <c r="D1044" i="1"/>
  <c r="E1044" i="1"/>
  <c r="A1045" i="1"/>
  <c r="B1045" i="1"/>
  <c r="C1045" i="1"/>
  <c r="D1045" i="1"/>
  <c r="E1045" i="1"/>
  <c r="A1046" i="1"/>
  <c r="B1046" i="1"/>
  <c r="C1046" i="1"/>
  <c r="D1046" i="1"/>
  <c r="E1046" i="1"/>
  <c r="A1047" i="1"/>
  <c r="B1047" i="1"/>
  <c r="C1047" i="1"/>
  <c r="D1047" i="1"/>
  <c r="E1047" i="1"/>
  <c r="A1048" i="1"/>
  <c r="B1048" i="1"/>
  <c r="C1048" i="1"/>
  <c r="D1048" i="1"/>
  <c r="E1048" i="1"/>
  <c r="A1049" i="1"/>
  <c r="B1049" i="1"/>
  <c r="C1049" i="1"/>
  <c r="D1049" i="1"/>
  <c r="E1049" i="1"/>
  <c r="A1050" i="1"/>
  <c r="B1050" i="1"/>
  <c r="C1050" i="1"/>
  <c r="D1050" i="1"/>
  <c r="E1050" i="1"/>
  <c r="A1051" i="1"/>
  <c r="B1051" i="1"/>
  <c r="C1051" i="1"/>
  <c r="D1051" i="1"/>
  <c r="E1051" i="1"/>
  <c r="A1052" i="1"/>
  <c r="B1052" i="1"/>
  <c r="C1052" i="1"/>
  <c r="D1052" i="1"/>
  <c r="E1052" i="1"/>
  <c r="A1053" i="1"/>
  <c r="B1053" i="1"/>
  <c r="C1053" i="1"/>
  <c r="D1053" i="1"/>
  <c r="E1053" i="1"/>
  <c r="A1054" i="1"/>
  <c r="B1054" i="1"/>
  <c r="C1054" i="1"/>
  <c r="D1054" i="1"/>
  <c r="E1054" i="1"/>
  <c r="A1055" i="1"/>
  <c r="B1055" i="1"/>
  <c r="C1055" i="1"/>
  <c r="D1055" i="1"/>
  <c r="E1055" i="1"/>
  <c r="A1056" i="1"/>
  <c r="B1056" i="1"/>
  <c r="C1056" i="1"/>
  <c r="D1056" i="1"/>
  <c r="E1056" i="1"/>
  <c r="A1057" i="1"/>
  <c r="B1057" i="1"/>
  <c r="C1057" i="1"/>
  <c r="D1057" i="1"/>
  <c r="E1057" i="1"/>
  <c r="A1058" i="1"/>
  <c r="B1058" i="1"/>
  <c r="C1058" i="1"/>
  <c r="D1058" i="1"/>
  <c r="E1058" i="1"/>
  <c r="A1059" i="1"/>
  <c r="B1059" i="1"/>
  <c r="C1059" i="1"/>
  <c r="D1059" i="1"/>
  <c r="E1059" i="1"/>
  <c r="A1060" i="1"/>
  <c r="B1060" i="1"/>
  <c r="C1060" i="1"/>
  <c r="D1060" i="1"/>
  <c r="E1060" i="1"/>
  <c r="A1061" i="1"/>
  <c r="B1061" i="1"/>
  <c r="C1061" i="1"/>
  <c r="D1061" i="1"/>
  <c r="E1061" i="1"/>
  <c r="A1062" i="1"/>
  <c r="B1062" i="1"/>
  <c r="C1062" i="1"/>
  <c r="D1062" i="1"/>
  <c r="E1062" i="1"/>
  <c r="A1063" i="1"/>
  <c r="B1063" i="1"/>
  <c r="C1063" i="1"/>
  <c r="D1063" i="1"/>
  <c r="E1063" i="1"/>
  <c r="A1064" i="1"/>
  <c r="B1064" i="1"/>
  <c r="C1064" i="1"/>
  <c r="D1064" i="1"/>
  <c r="E1064" i="1"/>
  <c r="A1065" i="1"/>
  <c r="B1065" i="1"/>
  <c r="C1065" i="1"/>
  <c r="D1065" i="1"/>
  <c r="E1065" i="1"/>
  <c r="A1066" i="1"/>
  <c r="B1066" i="1"/>
  <c r="C1066" i="1"/>
  <c r="D1066" i="1"/>
  <c r="E1066" i="1"/>
  <c r="A1067" i="1"/>
  <c r="B1067" i="1"/>
  <c r="C1067" i="1"/>
  <c r="D1067" i="1"/>
  <c r="E1067" i="1"/>
  <c r="A1068" i="1"/>
  <c r="B1068" i="1"/>
  <c r="C1068" i="1"/>
  <c r="D1068" i="1"/>
  <c r="E1068" i="1"/>
  <c r="A1069" i="1"/>
  <c r="B1069" i="1"/>
  <c r="C1069" i="1"/>
  <c r="D1069" i="1"/>
  <c r="E1069" i="1"/>
  <c r="A1070" i="1"/>
  <c r="B1070" i="1"/>
  <c r="C1070" i="1"/>
  <c r="D1070" i="1"/>
  <c r="E1070" i="1"/>
  <c r="A1071" i="1"/>
  <c r="B1071" i="1"/>
  <c r="C1071" i="1"/>
  <c r="D1071" i="1"/>
  <c r="E1071" i="1"/>
  <c r="A1072" i="1"/>
  <c r="B1072" i="1"/>
  <c r="C1072" i="1"/>
  <c r="D1072" i="1"/>
  <c r="E1072" i="1"/>
  <c r="A1073" i="1"/>
  <c r="B1073" i="1"/>
  <c r="C1073" i="1"/>
  <c r="D1073" i="1"/>
  <c r="E1073" i="1"/>
  <c r="A1074" i="1"/>
  <c r="B1074" i="1"/>
  <c r="C1074" i="1"/>
  <c r="D1074" i="1"/>
  <c r="E1074" i="1"/>
  <c r="A1075" i="1"/>
  <c r="B1075" i="1"/>
  <c r="C1075" i="1"/>
  <c r="D1075" i="1"/>
  <c r="E1075" i="1"/>
  <c r="A1076" i="1"/>
  <c r="B1076" i="1"/>
  <c r="C1076" i="1"/>
  <c r="D1076" i="1"/>
  <c r="E1076" i="1"/>
  <c r="A1077" i="1"/>
  <c r="B1077" i="1"/>
  <c r="C1077" i="1"/>
  <c r="D1077" i="1"/>
  <c r="E1077" i="1"/>
  <c r="A1078" i="1"/>
  <c r="B1078" i="1"/>
  <c r="C1078" i="1"/>
  <c r="D1078" i="1"/>
  <c r="E1078" i="1"/>
  <c r="A1079" i="1"/>
  <c r="B1079" i="1"/>
  <c r="C1079" i="1"/>
  <c r="D1079" i="1"/>
  <c r="E1079" i="1"/>
  <c r="A1080" i="1"/>
  <c r="B1080" i="1"/>
  <c r="C1080" i="1"/>
  <c r="D1080" i="1"/>
  <c r="E1080" i="1"/>
  <c r="A1081" i="1"/>
  <c r="B1081" i="1"/>
  <c r="C1081" i="1"/>
  <c r="D1081" i="1"/>
  <c r="E1081" i="1"/>
  <c r="A1082" i="1"/>
  <c r="B1082" i="1"/>
  <c r="C1082" i="1"/>
  <c r="D1082" i="1"/>
  <c r="E1082" i="1"/>
  <c r="A1083" i="1"/>
  <c r="B1083" i="1"/>
  <c r="C1083" i="1"/>
  <c r="D1083" i="1"/>
  <c r="E1083" i="1"/>
  <c r="A1084" i="1"/>
  <c r="B1084" i="1"/>
  <c r="C1084" i="1"/>
  <c r="D1084" i="1"/>
  <c r="E1084" i="1"/>
  <c r="A1085" i="1"/>
  <c r="B1085" i="1"/>
  <c r="C1085" i="1"/>
  <c r="D1085" i="1"/>
  <c r="E1085" i="1"/>
  <c r="A1086" i="1"/>
  <c r="B1086" i="1"/>
  <c r="C1086" i="1"/>
  <c r="D1086" i="1"/>
  <c r="E1086" i="1"/>
  <c r="A1087" i="1"/>
  <c r="B1087" i="1"/>
  <c r="C1087" i="1"/>
  <c r="D1087" i="1"/>
  <c r="E1087" i="1"/>
  <c r="A1088" i="1"/>
  <c r="B1088" i="1"/>
  <c r="C1088" i="1"/>
  <c r="D1088" i="1"/>
  <c r="E1088" i="1"/>
  <c r="A1089" i="1"/>
  <c r="B1089" i="1"/>
  <c r="C1089" i="1"/>
  <c r="D1089" i="1"/>
  <c r="E1089" i="1"/>
  <c r="A1090" i="1"/>
  <c r="B1090" i="1"/>
  <c r="C1090" i="1"/>
  <c r="D1090" i="1"/>
  <c r="E1090" i="1"/>
  <c r="A1091" i="1"/>
  <c r="B1091" i="1"/>
  <c r="C1091" i="1"/>
  <c r="D1091" i="1"/>
  <c r="E1091" i="1"/>
  <c r="A1092" i="1"/>
  <c r="B1092" i="1"/>
  <c r="C1092" i="1"/>
  <c r="D1092" i="1"/>
  <c r="E1092" i="1"/>
  <c r="A1093" i="1"/>
  <c r="B1093" i="1"/>
  <c r="C1093" i="1"/>
  <c r="D1093" i="1"/>
  <c r="E1093" i="1"/>
  <c r="A1094" i="1"/>
  <c r="B1094" i="1"/>
  <c r="C1094" i="1"/>
  <c r="D1094" i="1"/>
  <c r="E1094" i="1"/>
  <c r="A1095" i="1"/>
  <c r="B1095" i="1"/>
  <c r="C1095" i="1"/>
  <c r="D1095" i="1"/>
  <c r="E1095" i="1"/>
  <c r="A1096" i="1"/>
  <c r="B1096" i="1"/>
  <c r="C1096" i="1"/>
  <c r="D1096" i="1"/>
  <c r="E1096" i="1"/>
  <c r="A1097" i="1"/>
  <c r="B1097" i="1"/>
  <c r="C1097" i="1"/>
  <c r="D1097" i="1"/>
  <c r="E1097" i="1"/>
  <c r="A1098" i="1"/>
  <c r="B1098" i="1"/>
  <c r="C1098" i="1"/>
  <c r="D1098" i="1"/>
  <c r="E1098" i="1"/>
  <c r="A1099" i="1"/>
  <c r="B1099" i="1"/>
  <c r="C1099" i="1"/>
  <c r="D1099" i="1"/>
  <c r="E1099" i="1"/>
  <c r="A1100" i="1"/>
  <c r="B1100" i="1"/>
  <c r="C1100" i="1"/>
  <c r="D1100" i="1"/>
  <c r="E1100" i="1"/>
  <c r="A1101" i="1"/>
  <c r="B1101" i="1"/>
  <c r="C1101" i="1"/>
  <c r="D1101" i="1"/>
  <c r="E1101" i="1"/>
  <c r="A1102" i="1"/>
  <c r="B1102" i="1"/>
  <c r="C1102" i="1"/>
  <c r="D1102" i="1"/>
  <c r="E1102" i="1"/>
  <c r="A1103" i="1"/>
  <c r="B1103" i="1"/>
  <c r="C1103" i="1"/>
  <c r="D1103" i="1"/>
  <c r="E1103" i="1"/>
  <c r="A1104" i="1"/>
  <c r="B1104" i="1"/>
  <c r="C1104" i="1"/>
  <c r="D1104" i="1"/>
  <c r="E1104" i="1"/>
  <c r="A1105" i="1"/>
  <c r="B1105" i="1"/>
  <c r="C1105" i="1"/>
  <c r="D1105" i="1"/>
  <c r="E1105" i="1"/>
  <c r="A1106" i="1"/>
  <c r="B1106" i="1"/>
  <c r="C1106" i="1"/>
  <c r="D1106" i="1"/>
  <c r="E1106" i="1"/>
  <c r="A1107" i="1"/>
  <c r="B1107" i="1"/>
  <c r="C1107" i="1"/>
  <c r="D1107" i="1"/>
  <c r="E1107" i="1"/>
  <c r="A1108" i="1"/>
  <c r="B1108" i="1"/>
  <c r="C1108" i="1"/>
  <c r="D1108" i="1"/>
  <c r="E1108" i="1"/>
  <c r="A1109" i="1"/>
  <c r="B1109" i="1"/>
  <c r="C1109" i="1"/>
  <c r="D1109" i="1"/>
  <c r="E1109" i="1"/>
  <c r="A1110" i="1"/>
  <c r="B1110" i="1"/>
  <c r="C1110" i="1"/>
  <c r="D1110" i="1"/>
  <c r="E1110" i="1"/>
  <c r="A1111" i="1"/>
  <c r="B1111" i="1"/>
  <c r="C1111" i="1"/>
  <c r="D1111" i="1"/>
  <c r="E1111" i="1"/>
  <c r="A1112" i="1"/>
  <c r="B1112" i="1"/>
  <c r="C1112" i="1"/>
  <c r="D1112" i="1"/>
  <c r="E1112" i="1"/>
  <c r="A1113" i="1"/>
  <c r="B1113" i="1"/>
  <c r="C1113" i="1"/>
  <c r="D1113" i="1"/>
  <c r="E1113" i="1"/>
  <c r="A1114" i="1"/>
  <c r="B1114" i="1"/>
  <c r="C1114" i="1"/>
  <c r="D1114" i="1"/>
  <c r="E1114" i="1"/>
  <c r="A1115" i="1"/>
  <c r="B1115" i="1"/>
  <c r="C1115" i="1"/>
  <c r="D1115" i="1"/>
  <c r="E1115" i="1"/>
  <c r="A1116" i="1"/>
  <c r="B1116" i="1"/>
  <c r="C1116" i="1"/>
  <c r="D1116" i="1"/>
  <c r="E1116" i="1"/>
  <c r="A1117" i="1"/>
  <c r="B1117" i="1"/>
  <c r="C1117" i="1"/>
  <c r="D1117" i="1"/>
  <c r="E1117" i="1"/>
  <c r="A1118" i="1"/>
  <c r="B1118" i="1"/>
  <c r="C1118" i="1"/>
  <c r="D1118" i="1"/>
  <c r="E1118" i="1"/>
  <c r="A1119" i="1"/>
  <c r="B1119" i="1"/>
  <c r="C1119" i="1"/>
  <c r="D1119" i="1"/>
  <c r="E1119" i="1"/>
  <c r="A1120" i="1"/>
  <c r="B1120" i="1"/>
  <c r="C1120" i="1"/>
  <c r="D1120" i="1"/>
  <c r="E1120" i="1"/>
  <c r="A1121" i="1"/>
  <c r="B1121" i="1"/>
  <c r="C1121" i="1"/>
  <c r="D1121" i="1"/>
  <c r="E1121" i="1"/>
  <c r="A1122" i="1"/>
  <c r="B1122" i="1"/>
  <c r="C1122" i="1"/>
  <c r="D1122" i="1"/>
  <c r="E1122" i="1"/>
  <c r="A1123" i="1"/>
  <c r="B1123" i="1"/>
  <c r="C1123" i="1"/>
  <c r="D1123" i="1"/>
  <c r="E1123" i="1"/>
  <c r="A1124" i="1"/>
  <c r="B1124" i="1"/>
  <c r="C1124" i="1"/>
  <c r="D1124" i="1"/>
  <c r="E1124" i="1"/>
  <c r="A1125" i="1"/>
  <c r="B1125" i="1"/>
  <c r="C1125" i="1"/>
  <c r="D1125" i="1"/>
  <c r="E1125" i="1"/>
  <c r="A1126" i="1"/>
  <c r="B1126" i="1"/>
  <c r="C1126" i="1"/>
  <c r="D1126" i="1"/>
  <c r="E1126" i="1"/>
  <c r="A1127" i="1"/>
  <c r="B1127" i="1"/>
  <c r="C1127" i="1"/>
  <c r="D1127" i="1"/>
  <c r="E1127" i="1"/>
  <c r="A1128" i="1"/>
  <c r="B1128" i="1"/>
  <c r="C1128" i="1"/>
  <c r="D1128" i="1"/>
  <c r="E1128" i="1"/>
  <c r="A1129" i="1"/>
  <c r="B1129" i="1"/>
  <c r="C1129" i="1"/>
  <c r="D1129" i="1"/>
  <c r="E1129" i="1"/>
  <c r="A1130" i="1"/>
  <c r="B1130" i="1"/>
  <c r="C1130" i="1"/>
  <c r="D1130" i="1"/>
  <c r="E1130" i="1"/>
  <c r="A1131" i="1"/>
  <c r="B1131" i="1"/>
  <c r="C1131" i="1"/>
  <c r="D1131" i="1"/>
  <c r="E1131" i="1"/>
  <c r="A1132" i="1"/>
  <c r="B1132" i="1"/>
  <c r="C1132" i="1"/>
  <c r="D1132" i="1"/>
  <c r="E1132" i="1"/>
  <c r="A1133" i="1"/>
  <c r="B1133" i="1"/>
  <c r="C1133" i="1"/>
  <c r="D1133" i="1"/>
  <c r="E1133" i="1"/>
  <c r="A1134" i="1"/>
  <c r="B1134" i="1"/>
  <c r="C1134" i="1"/>
  <c r="D1134" i="1"/>
  <c r="E1134" i="1"/>
  <c r="A1135" i="1"/>
  <c r="B1135" i="1"/>
  <c r="C1135" i="1"/>
  <c r="D1135" i="1"/>
  <c r="E1135" i="1"/>
  <c r="A1136" i="1"/>
  <c r="B1136" i="1"/>
  <c r="C1136" i="1"/>
  <c r="D1136" i="1"/>
  <c r="E1136" i="1"/>
  <c r="A1137" i="1"/>
  <c r="B1137" i="1"/>
  <c r="C1137" i="1"/>
  <c r="D1137" i="1"/>
  <c r="E1137" i="1"/>
  <c r="A1138" i="1"/>
  <c r="B1138" i="1"/>
  <c r="C1138" i="1"/>
  <c r="D1138" i="1"/>
  <c r="E1138" i="1"/>
  <c r="A1139" i="1"/>
  <c r="B1139" i="1"/>
  <c r="C1139" i="1"/>
  <c r="D1139" i="1"/>
  <c r="E1139" i="1"/>
  <c r="A1140" i="1"/>
  <c r="B1140" i="1"/>
  <c r="C1140" i="1"/>
  <c r="D1140" i="1"/>
  <c r="E1140" i="1"/>
  <c r="A1141" i="1"/>
  <c r="B1141" i="1"/>
  <c r="C1141" i="1"/>
  <c r="D1141" i="1"/>
  <c r="E1141" i="1"/>
  <c r="A1142" i="1"/>
  <c r="B1142" i="1"/>
  <c r="C1142" i="1"/>
  <c r="D1142" i="1"/>
  <c r="E1142" i="1"/>
  <c r="A1143" i="1"/>
  <c r="B1143" i="1"/>
  <c r="C1143" i="1"/>
  <c r="D1143" i="1"/>
  <c r="E1143" i="1"/>
  <c r="A1144" i="1"/>
  <c r="B1144" i="1"/>
  <c r="C1144" i="1"/>
  <c r="D1144" i="1"/>
  <c r="E1144" i="1"/>
  <c r="A1145" i="1"/>
  <c r="B1145" i="1"/>
  <c r="C1145" i="1"/>
  <c r="D1145" i="1"/>
  <c r="E1145" i="1"/>
  <c r="A1146" i="1"/>
  <c r="B1146" i="1"/>
  <c r="C1146" i="1"/>
  <c r="D1146" i="1"/>
  <c r="E1146" i="1"/>
  <c r="A1147" i="1"/>
  <c r="B1147" i="1"/>
  <c r="C1147" i="1"/>
  <c r="D1147" i="1"/>
  <c r="E1147" i="1"/>
  <c r="A1148" i="1"/>
  <c r="B1148" i="1"/>
  <c r="C1148" i="1"/>
  <c r="D1148" i="1"/>
  <c r="E1148" i="1"/>
  <c r="A1149" i="1"/>
  <c r="B1149" i="1"/>
  <c r="C1149" i="1"/>
  <c r="D1149" i="1"/>
  <c r="E1149" i="1"/>
  <c r="A1150" i="1"/>
  <c r="B1150" i="1"/>
  <c r="C1150" i="1"/>
  <c r="D1150" i="1"/>
  <c r="E1150" i="1"/>
  <c r="A1151" i="1"/>
  <c r="B1151" i="1"/>
  <c r="C1151" i="1"/>
  <c r="D1151" i="1"/>
  <c r="E1151" i="1"/>
  <c r="A1152" i="1"/>
  <c r="B1152" i="1"/>
  <c r="C1152" i="1"/>
  <c r="D1152" i="1"/>
  <c r="E1152" i="1"/>
  <c r="A1153" i="1"/>
  <c r="B1153" i="1"/>
  <c r="C1153" i="1"/>
  <c r="D1153" i="1"/>
  <c r="E1153" i="1"/>
  <c r="A1154" i="1"/>
  <c r="B1154" i="1"/>
  <c r="C1154" i="1"/>
  <c r="D1154" i="1"/>
  <c r="E1154" i="1"/>
  <c r="A1155" i="1"/>
  <c r="B1155" i="1"/>
  <c r="C1155" i="1"/>
  <c r="D1155" i="1"/>
  <c r="E1155" i="1"/>
  <c r="A1156" i="1"/>
  <c r="B1156" i="1"/>
  <c r="C1156" i="1"/>
  <c r="D1156" i="1"/>
  <c r="E1156" i="1"/>
  <c r="A1157" i="1"/>
  <c r="B1157" i="1"/>
  <c r="C1157" i="1"/>
  <c r="D1157" i="1"/>
  <c r="E1157" i="1"/>
  <c r="A1158" i="1"/>
  <c r="B1158" i="1"/>
  <c r="C1158" i="1"/>
  <c r="D1158" i="1"/>
  <c r="E1158" i="1"/>
  <c r="A1159" i="1"/>
  <c r="B1159" i="1"/>
  <c r="C1159" i="1"/>
  <c r="D1159" i="1"/>
  <c r="E1159" i="1"/>
  <c r="A1160" i="1"/>
  <c r="B1160" i="1"/>
  <c r="C1160" i="1"/>
  <c r="D1160" i="1"/>
  <c r="E1160" i="1"/>
  <c r="A1161" i="1"/>
  <c r="B1161" i="1"/>
  <c r="C1161" i="1"/>
  <c r="D1161" i="1"/>
  <c r="E1161" i="1"/>
  <c r="A1162" i="1"/>
  <c r="B1162" i="1"/>
  <c r="C1162" i="1"/>
  <c r="D1162" i="1"/>
  <c r="E1162" i="1"/>
  <c r="A1163" i="1"/>
  <c r="B1163" i="1"/>
  <c r="C1163" i="1"/>
  <c r="D1163" i="1"/>
  <c r="E1163" i="1"/>
  <c r="A1164" i="1"/>
  <c r="B1164" i="1"/>
  <c r="C1164" i="1"/>
  <c r="D1164" i="1"/>
  <c r="E1164" i="1"/>
  <c r="A1165" i="1"/>
  <c r="B1165" i="1"/>
  <c r="C1165" i="1"/>
  <c r="D1165" i="1"/>
  <c r="E1165" i="1"/>
  <c r="A1166" i="1"/>
  <c r="B1166" i="1"/>
  <c r="C1166" i="1"/>
  <c r="D1166" i="1"/>
  <c r="E1166" i="1"/>
  <c r="A1167" i="1"/>
  <c r="B1167" i="1"/>
  <c r="C1167" i="1"/>
  <c r="D1167" i="1"/>
  <c r="E1167" i="1"/>
  <c r="A1168" i="1"/>
  <c r="B1168" i="1"/>
  <c r="C1168" i="1"/>
  <c r="D1168" i="1"/>
  <c r="E1168" i="1"/>
  <c r="A1169" i="1"/>
  <c r="B1169" i="1"/>
  <c r="C1169" i="1"/>
  <c r="D1169" i="1"/>
  <c r="E1169" i="1"/>
  <c r="A1170" i="1"/>
  <c r="B1170" i="1"/>
  <c r="C1170" i="1"/>
  <c r="D1170" i="1"/>
  <c r="E1170" i="1"/>
  <c r="A1171" i="1"/>
  <c r="B1171" i="1"/>
  <c r="C1171" i="1"/>
  <c r="D1171" i="1"/>
  <c r="E1171" i="1"/>
  <c r="A1172" i="1"/>
  <c r="B1172" i="1"/>
  <c r="C1172" i="1"/>
  <c r="D1172" i="1"/>
  <c r="E1172" i="1"/>
  <c r="A1173" i="1"/>
  <c r="B1173" i="1"/>
  <c r="C1173" i="1"/>
  <c r="D1173" i="1"/>
  <c r="E1173" i="1"/>
  <c r="A1174" i="1"/>
  <c r="B1174" i="1"/>
  <c r="C1174" i="1"/>
  <c r="D1174" i="1"/>
  <c r="E1174" i="1"/>
  <c r="A1175" i="1"/>
  <c r="B1175" i="1"/>
  <c r="C1175" i="1"/>
  <c r="D1175" i="1"/>
  <c r="E1175" i="1"/>
  <c r="A1176" i="1"/>
  <c r="B1176" i="1"/>
  <c r="C1176" i="1"/>
  <c r="D1176" i="1"/>
  <c r="E1176" i="1"/>
  <c r="A1177" i="1"/>
  <c r="B1177" i="1"/>
  <c r="C1177" i="1"/>
  <c r="D1177" i="1"/>
  <c r="E1177" i="1"/>
  <c r="A1178" i="1"/>
  <c r="B1178" i="1"/>
  <c r="C1178" i="1"/>
  <c r="D1178" i="1"/>
  <c r="E1178" i="1"/>
  <c r="A1179" i="1"/>
  <c r="B1179" i="1"/>
  <c r="C1179" i="1"/>
  <c r="D1179" i="1"/>
  <c r="E1179" i="1"/>
  <c r="A1180" i="1"/>
  <c r="B1180" i="1"/>
  <c r="C1180" i="1"/>
  <c r="D1180" i="1"/>
  <c r="E1180" i="1"/>
  <c r="A1181" i="1"/>
  <c r="B1181" i="1"/>
  <c r="C1181" i="1"/>
  <c r="D1181" i="1"/>
  <c r="E1181" i="1"/>
  <c r="A1182" i="1"/>
  <c r="B1182" i="1"/>
  <c r="C1182" i="1"/>
  <c r="D1182" i="1"/>
  <c r="E1182" i="1"/>
  <c r="A1183" i="1"/>
  <c r="B1183" i="1"/>
  <c r="C1183" i="1"/>
  <c r="D1183" i="1"/>
  <c r="E1183" i="1"/>
  <c r="A1184" i="1"/>
  <c r="B1184" i="1"/>
  <c r="C1184" i="1"/>
  <c r="D1184" i="1"/>
  <c r="E1184" i="1"/>
  <c r="A1185" i="1"/>
  <c r="B1185" i="1"/>
  <c r="C1185" i="1"/>
  <c r="D1185" i="1"/>
  <c r="E1185" i="1"/>
  <c r="A1186" i="1"/>
  <c r="B1186" i="1"/>
  <c r="C1186" i="1"/>
  <c r="D1186" i="1"/>
  <c r="E1186" i="1"/>
  <c r="A1187" i="1"/>
  <c r="B1187" i="1"/>
  <c r="C1187" i="1"/>
  <c r="D1187" i="1"/>
  <c r="E1187" i="1"/>
  <c r="A1188" i="1"/>
  <c r="B1188" i="1"/>
  <c r="C1188" i="1"/>
  <c r="D1188" i="1"/>
  <c r="E1188" i="1"/>
  <c r="A1189" i="1"/>
  <c r="B1189" i="1"/>
  <c r="C1189" i="1"/>
  <c r="D1189" i="1"/>
  <c r="E1189" i="1"/>
  <c r="A1190" i="1"/>
  <c r="B1190" i="1"/>
  <c r="C1190" i="1"/>
  <c r="D1190" i="1"/>
  <c r="E1190" i="1"/>
  <c r="A1191" i="1"/>
  <c r="B1191" i="1"/>
  <c r="C1191" i="1"/>
  <c r="D1191" i="1"/>
  <c r="E1191" i="1"/>
  <c r="A1192" i="1"/>
  <c r="B1192" i="1"/>
  <c r="C1192" i="1"/>
  <c r="D1192" i="1"/>
  <c r="E1192" i="1"/>
  <c r="A1193" i="1"/>
  <c r="B1193" i="1"/>
  <c r="C1193" i="1"/>
  <c r="D1193" i="1"/>
  <c r="E1193" i="1"/>
  <c r="A1194" i="1"/>
  <c r="B1194" i="1"/>
  <c r="C1194" i="1"/>
  <c r="D1194" i="1"/>
  <c r="E1194" i="1"/>
  <c r="A1195" i="1"/>
  <c r="B1195" i="1"/>
  <c r="C1195" i="1"/>
  <c r="D1195" i="1"/>
  <c r="E1195" i="1"/>
  <c r="A1196" i="1"/>
  <c r="B1196" i="1"/>
  <c r="C1196" i="1"/>
  <c r="D1196" i="1"/>
  <c r="E1196" i="1"/>
  <c r="A1197" i="1"/>
  <c r="B1197" i="1"/>
  <c r="C1197" i="1"/>
  <c r="D1197" i="1"/>
  <c r="E1197" i="1"/>
  <c r="A1198" i="1"/>
  <c r="B1198" i="1"/>
  <c r="C1198" i="1"/>
  <c r="D1198" i="1"/>
  <c r="E1198" i="1"/>
  <c r="A1199" i="1"/>
  <c r="B1199" i="1"/>
  <c r="C1199" i="1"/>
  <c r="D1199" i="1"/>
  <c r="E1199" i="1"/>
  <c r="A1200" i="1"/>
  <c r="B1200" i="1"/>
  <c r="C1200" i="1"/>
  <c r="D1200" i="1"/>
  <c r="E1200" i="1"/>
  <c r="A1201" i="1"/>
  <c r="B1201" i="1"/>
  <c r="C1201" i="1"/>
  <c r="D1201" i="1"/>
  <c r="E1201" i="1"/>
  <c r="A1202" i="1"/>
  <c r="B1202" i="1"/>
  <c r="C1202" i="1"/>
  <c r="D1202" i="1"/>
  <c r="E1202" i="1"/>
  <c r="A1203" i="1"/>
  <c r="B1203" i="1"/>
  <c r="C1203" i="1"/>
  <c r="D1203" i="1"/>
  <c r="E1203" i="1"/>
  <c r="A1204" i="1"/>
  <c r="B1204" i="1"/>
  <c r="C1204" i="1"/>
  <c r="D1204" i="1"/>
  <c r="E1204" i="1"/>
  <c r="A1205" i="1"/>
  <c r="B1205" i="1"/>
  <c r="C1205" i="1"/>
  <c r="D1205" i="1"/>
  <c r="E1205" i="1"/>
  <c r="A1206" i="1"/>
  <c r="B1206" i="1"/>
  <c r="C1206" i="1"/>
  <c r="D1206" i="1"/>
  <c r="E1206" i="1"/>
  <c r="A1207" i="1"/>
  <c r="B1207" i="1"/>
  <c r="C1207" i="1"/>
  <c r="D1207" i="1"/>
  <c r="E1207" i="1"/>
  <c r="A1208" i="1"/>
  <c r="B1208" i="1"/>
  <c r="C1208" i="1"/>
  <c r="D1208" i="1"/>
  <c r="E1208" i="1"/>
  <c r="A1209" i="1"/>
  <c r="B1209" i="1"/>
  <c r="C1209" i="1"/>
  <c r="D1209" i="1"/>
  <c r="E1209" i="1"/>
  <c r="A1210" i="1"/>
  <c r="B1210" i="1"/>
  <c r="C1210" i="1"/>
  <c r="D1210" i="1"/>
  <c r="E1210" i="1"/>
  <c r="A1211" i="1"/>
  <c r="B1211" i="1"/>
  <c r="C1211" i="1"/>
  <c r="D1211" i="1"/>
  <c r="E1211" i="1"/>
  <c r="A1212" i="1"/>
  <c r="B1212" i="1"/>
  <c r="C1212" i="1"/>
  <c r="D1212" i="1"/>
  <c r="E1212" i="1"/>
  <c r="A1213" i="1"/>
  <c r="B1213" i="1"/>
  <c r="C1213" i="1"/>
  <c r="D1213" i="1"/>
  <c r="E1213" i="1"/>
  <c r="A1214" i="1"/>
  <c r="B1214" i="1"/>
  <c r="C1214" i="1"/>
  <c r="D1214" i="1"/>
  <c r="E1214" i="1"/>
  <c r="A1215" i="1"/>
  <c r="B1215" i="1"/>
  <c r="C1215" i="1"/>
  <c r="D1215" i="1"/>
  <c r="E1215" i="1"/>
  <c r="A1216" i="1"/>
  <c r="B1216" i="1"/>
  <c r="C1216" i="1"/>
  <c r="D1216" i="1"/>
  <c r="E1216" i="1"/>
  <c r="A1217" i="1"/>
  <c r="B1217" i="1"/>
  <c r="C1217" i="1"/>
  <c r="D1217" i="1"/>
  <c r="E1217" i="1"/>
  <c r="A1218" i="1"/>
  <c r="B1218" i="1"/>
  <c r="C1218" i="1"/>
  <c r="D1218" i="1"/>
  <c r="E1218" i="1"/>
  <c r="A1219" i="1"/>
  <c r="B1219" i="1"/>
  <c r="C1219" i="1"/>
  <c r="D1219" i="1"/>
  <c r="E1219" i="1"/>
  <c r="A1220" i="1"/>
  <c r="B1220" i="1"/>
  <c r="C1220" i="1"/>
  <c r="D1220" i="1"/>
  <c r="E1220" i="1"/>
  <c r="A1221" i="1"/>
  <c r="B1221" i="1"/>
  <c r="C1221" i="1"/>
  <c r="D1221" i="1"/>
  <c r="E1221" i="1"/>
  <c r="A1222" i="1"/>
  <c r="B1222" i="1"/>
  <c r="C1222" i="1"/>
  <c r="D1222" i="1"/>
  <c r="E1222" i="1"/>
  <c r="A1223" i="1"/>
  <c r="B1223" i="1"/>
  <c r="C1223" i="1"/>
  <c r="D1223" i="1"/>
  <c r="E1223" i="1"/>
  <c r="A1224" i="1"/>
  <c r="B1224" i="1"/>
  <c r="C1224" i="1"/>
  <c r="D1224" i="1"/>
  <c r="E1224" i="1"/>
  <c r="A1225" i="1"/>
  <c r="B1225" i="1"/>
  <c r="C1225" i="1"/>
  <c r="D1225" i="1"/>
  <c r="E1225" i="1"/>
  <c r="A1226" i="1"/>
  <c r="B1226" i="1"/>
  <c r="C1226" i="1"/>
  <c r="D1226" i="1"/>
  <c r="E1226" i="1"/>
  <c r="A1227" i="1"/>
  <c r="B1227" i="1"/>
  <c r="C1227" i="1"/>
  <c r="D1227" i="1"/>
  <c r="E1227" i="1"/>
  <c r="A1228" i="1"/>
  <c r="B1228" i="1"/>
  <c r="C1228" i="1"/>
  <c r="D1228" i="1"/>
  <c r="E1228" i="1"/>
  <c r="A1229" i="1"/>
  <c r="B1229" i="1"/>
  <c r="C1229" i="1"/>
  <c r="D1229" i="1"/>
  <c r="E1229" i="1"/>
  <c r="A1230" i="1"/>
  <c r="B1230" i="1"/>
  <c r="C1230" i="1"/>
  <c r="D1230" i="1"/>
  <c r="E1230" i="1"/>
  <c r="A1231" i="1"/>
  <c r="B1231" i="1"/>
  <c r="C1231" i="1"/>
  <c r="D1231" i="1"/>
  <c r="E1231" i="1"/>
  <c r="A1232" i="1"/>
  <c r="B1232" i="1"/>
  <c r="C1232" i="1"/>
  <c r="D1232" i="1"/>
  <c r="E1232" i="1"/>
  <c r="A1233" i="1"/>
  <c r="B1233" i="1"/>
  <c r="C1233" i="1"/>
  <c r="D1233" i="1"/>
  <c r="E1233" i="1"/>
  <c r="A1234" i="1"/>
  <c r="B1234" i="1"/>
  <c r="C1234" i="1"/>
  <c r="D1234" i="1"/>
  <c r="E1234" i="1"/>
  <c r="A1235" i="1"/>
  <c r="B1235" i="1"/>
  <c r="C1235" i="1"/>
  <c r="D1235" i="1"/>
  <c r="E1235" i="1"/>
  <c r="A1236" i="1"/>
  <c r="B1236" i="1"/>
  <c r="C1236" i="1"/>
  <c r="D1236" i="1"/>
  <c r="E1236" i="1"/>
  <c r="A1237" i="1"/>
  <c r="B1237" i="1"/>
  <c r="C1237" i="1"/>
  <c r="D1237" i="1"/>
  <c r="E1237" i="1"/>
  <c r="A1238" i="1"/>
  <c r="B1238" i="1"/>
  <c r="C1238" i="1"/>
  <c r="D1238" i="1"/>
  <c r="E1238" i="1"/>
  <c r="A1239" i="1"/>
  <c r="B1239" i="1"/>
  <c r="C1239" i="1"/>
  <c r="D1239" i="1"/>
  <c r="E1239" i="1"/>
  <c r="A1240" i="1"/>
  <c r="B1240" i="1"/>
  <c r="C1240" i="1"/>
  <c r="D1240" i="1"/>
  <c r="E1240" i="1"/>
  <c r="A1241" i="1"/>
  <c r="B1241" i="1"/>
  <c r="C1241" i="1"/>
  <c r="D1241" i="1"/>
  <c r="E1241" i="1"/>
  <c r="A1242" i="1"/>
  <c r="B1242" i="1"/>
  <c r="C1242" i="1"/>
  <c r="D1242" i="1"/>
  <c r="E1242" i="1"/>
  <c r="A1243" i="1"/>
  <c r="B1243" i="1"/>
  <c r="C1243" i="1"/>
  <c r="D1243" i="1"/>
  <c r="E1243" i="1"/>
  <c r="A1244" i="1"/>
  <c r="B1244" i="1"/>
  <c r="C1244" i="1"/>
  <c r="D1244" i="1"/>
  <c r="E1244" i="1"/>
  <c r="A1245" i="1"/>
  <c r="B1245" i="1"/>
  <c r="C1245" i="1"/>
  <c r="D1245" i="1"/>
  <c r="E1245" i="1"/>
  <c r="A1246" i="1"/>
  <c r="B1246" i="1"/>
  <c r="C1246" i="1"/>
  <c r="D1246" i="1"/>
  <c r="E1246" i="1"/>
  <c r="A1247" i="1"/>
  <c r="B1247" i="1"/>
  <c r="C1247" i="1"/>
  <c r="D1247" i="1"/>
  <c r="E1247" i="1"/>
  <c r="A1248" i="1"/>
  <c r="B1248" i="1"/>
  <c r="C1248" i="1"/>
  <c r="D1248" i="1"/>
  <c r="E1248" i="1"/>
  <c r="A1249" i="1"/>
  <c r="B1249" i="1"/>
  <c r="C1249" i="1"/>
  <c r="D1249" i="1"/>
  <c r="E1249" i="1"/>
  <c r="A1250" i="1"/>
  <c r="B1250" i="1"/>
  <c r="C1250" i="1"/>
  <c r="D1250" i="1"/>
  <c r="E1250" i="1"/>
  <c r="A1251" i="1"/>
  <c r="B1251" i="1"/>
  <c r="C1251" i="1"/>
  <c r="D1251" i="1"/>
  <c r="E1251" i="1"/>
  <c r="A1252" i="1"/>
  <c r="B1252" i="1"/>
  <c r="C1252" i="1"/>
  <c r="D1252" i="1"/>
  <c r="E1252" i="1"/>
  <c r="A1253" i="1"/>
  <c r="B1253" i="1"/>
  <c r="C1253" i="1"/>
  <c r="D1253" i="1"/>
  <c r="E1253" i="1"/>
  <c r="A1254" i="1"/>
  <c r="B1254" i="1"/>
  <c r="C1254" i="1"/>
  <c r="D1254" i="1"/>
  <c r="E1254" i="1"/>
  <c r="A1255" i="1"/>
  <c r="B1255" i="1"/>
  <c r="C1255" i="1"/>
  <c r="D1255" i="1"/>
  <c r="E1255" i="1"/>
  <c r="A1256" i="1"/>
  <c r="B1256" i="1"/>
  <c r="C1256" i="1"/>
  <c r="D1256" i="1"/>
  <c r="E1256" i="1"/>
  <c r="A1257" i="1"/>
  <c r="B1257" i="1"/>
  <c r="C1257" i="1"/>
  <c r="D1257" i="1"/>
  <c r="E1257" i="1"/>
  <c r="A1258" i="1"/>
  <c r="B1258" i="1"/>
  <c r="C1258" i="1"/>
  <c r="D1258" i="1"/>
  <c r="E1258" i="1"/>
  <c r="A1259" i="1"/>
  <c r="B1259" i="1"/>
  <c r="C1259" i="1"/>
  <c r="D1259" i="1"/>
  <c r="E1259" i="1"/>
  <c r="A1260" i="1"/>
  <c r="B1260" i="1"/>
  <c r="C1260" i="1"/>
  <c r="D1260" i="1"/>
  <c r="E1260" i="1"/>
  <c r="A1261" i="1"/>
  <c r="B1261" i="1"/>
  <c r="C1261" i="1"/>
  <c r="D1261" i="1"/>
  <c r="E1261" i="1"/>
  <c r="A1262" i="1"/>
  <c r="B1262" i="1"/>
  <c r="C1262" i="1"/>
  <c r="D1262" i="1"/>
  <c r="E1262" i="1"/>
  <c r="A1263" i="1"/>
  <c r="B1263" i="1"/>
  <c r="C1263" i="1"/>
  <c r="D1263" i="1"/>
  <c r="E1263" i="1"/>
  <c r="A1264" i="1"/>
  <c r="B1264" i="1"/>
  <c r="C1264" i="1"/>
  <c r="D1264" i="1"/>
  <c r="E1264" i="1"/>
  <c r="A1265" i="1"/>
  <c r="B1265" i="1"/>
  <c r="C1265" i="1"/>
  <c r="D1265" i="1"/>
  <c r="E1265" i="1"/>
  <c r="A1266" i="1"/>
  <c r="B1266" i="1"/>
  <c r="C1266" i="1"/>
  <c r="D1266" i="1"/>
  <c r="E1266" i="1"/>
  <c r="A1267" i="1"/>
  <c r="B1267" i="1"/>
  <c r="C1267" i="1"/>
  <c r="D1267" i="1"/>
  <c r="E1267" i="1"/>
  <c r="A1268" i="1"/>
  <c r="B1268" i="1"/>
  <c r="C1268" i="1"/>
  <c r="D1268" i="1"/>
  <c r="E1268" i="1"/>
  <c r="A1269" i="1"/>
  <c r="B1269" i="1"/>
  <c r="C1269" i="1"/>
  <c r="D1269" i="1"/>
  <c r="E1269" i="1"/>
  <c r="A1270" i="1"/>
  <c r="B1270" i="1"/>
  <c r="C1270" i="1"/>
  <c r="D1270" i="1"/>
  <c r="E1270" i="1"/>
  <c r="A1271" i="1"/>
  <c r="B1271" i="1"/>
  <c r="C1271" i="1"/>
  <c r="D1271" i="1"/>
  <c r="E1271" i="1"/>
  <c r="A1272" i="1"/>
  <c r="B1272" i="1"/>
  <c r="C1272" i="1"/>
  <c r="D1272" i="1"/>
  <c r="E1272" i="1"/>
  <c r="A1273" i="1"/>
  <c r="B1273" i="1"/>
  <c r="C1273" i="1"/>
  <c r="D1273" i="1"/>
  <c r="E1273" i="1"/>
  <c r="A1274" i="1"/>
  <c r="B1274" i="1"/>
  <c r="C1274" i="1"/>
  <c r="D1274" i="1"/>
  <c r="E1274" i="1"/>
  <c r="A1275" i="1"/>
  <c r="B1275" i="1"/>
  <c r="C1275" i="1"/>
  <c r="D1275" i="1"/>
  <c r="E1275" i="1"/>
  <c r="A1276" i="1"/>
  <c r="B1276" i="1"/>
  <c r="C1276" i="1"/>
  <c r="D1276" i="1"/>
  <c r="E1276" i="1"/>
  <c r="A1277" i="1"/>
  <c r="B1277" i="1"/>
  <c r="C1277" i="1"/>
  <c r="D1277" i="1"/>
  <c r="E1277" i="1"/>
  <c r="A1278" i="1"/>
  <c r="B1278" i="1"/>
  <c r="C1278" i="1"/>
  <c r="D1278" i="1"/>
  <c r="E1278" i="1"/>
  <c r="A1279" i="1"/>
  <c r="B1279" i="1"/>
  <c r="C1279" i="1"/>
  <c r="D1279" i="1"/>
  <c r="E1279" i="1"/>
  <c r="A1280" i="1"/>
  <c r="B1280" i="1"/>
  <c r="C1280" i="1"/>
  <c r="D1280" i="1"/>
  <c r="E1280" i="1"/>
  <c r="A1281" i="1"/>
  <c r="B1281" i="1"/>
  <c r="C1281" i="1"/>
  <c r="D1281" i="1"/>
  <c r="E1281" i="1"/>
  <c r="A1282" i="1"/>
  <c r="B1282" i="1"/>
  <c r="C1282" i="1"/>
  <c r="D1282" i="1"/>
  <c r="E1282" i="1"/>
  <c r="A1283" i="1"/>
  <c r="B1283" i="1"/>
  <c r="C1283" i="1"/>
  <c r="D1283" i="1"/>
  <c r="E1283" i="1"/>
  <c r="A1284" i="1"/>
  <c r="B1284" i="1"/>
  <c r="C1284" i="1"/>
  <c r="D1284" i="1"/>
  <c r="E1284" i="1"/>
  <c r="A1285" i="1"/>
  <c r="B1285" i="1"/>
  <c r="C1285" i="1"/>
  <c r="D1285" i="1"/>
  <c r="E1285" i="1"/>
  <c r="A1286" i="1"/>
  <c r="B1286" i="1"/>
  <c r="C1286" i="1"/>
  <c r="D1286" i="1"/>
  <c r="E1286" i="1"/>
  <c r="A1287" i="1"/>
  <c r="B1287" i="1"/>
  <c r="C1287" i="1"/>
  <c r="D1287" i="1"/>
  <c r="E1287" i="1"/>
  <c r="A1288" i="1"/>
  <c r="B1288" i="1"/>
  <c r="C1288" i="1"/>
  <c r="D1288" i="1"/>
  <c r="E1288" i="1"/>
  <c r="A1289" i="1"/>
  <c r="B1289" i="1"/>
  <c r="C1289" i="1"/>
  <c r="D1289" i="1"/>
  <c r="E1289" i="1"/>
  <c r="A1290" i="1"/>
  <c r="B1290" i="1"/>
  <c r="C1290" i="1"/>
  <c r="D1290" i="1"/>
  <c r="E1290" i="1"/>
  <c r="A1291" i="1"/>
  <c r="B1291" i="1"/>
  <c r="C1291" i="1"/>
  <c r="D1291" i="1"/>
  <c r="E1291" i="1"/>
  <c r="A1292" i="1"/>
  <c r="B1292" i="1"/>
  <c r="C1292" i="1"/>
  <c r="D1292" i="1"/>
  <c r="E1292" i="1"/>
  <c r="A1293" i="1"/>
  <c r="B1293" i="1"/>
  <c r="C1293" i="1"/>
  <c r="D1293" i="1"/>
  <c r="E1293" i="1"/>
  <c r="A1294" i="1"/>
  <c r="B1294" i="1"/>
  <c r="C1294" i="1"/>
  <c r="D1294" i="1"/>
  <c r="E1294" i="1"/>
  <c r="A1295" i="1"/>
  <c r="B1295" i="1"/>
  <c r="C1295" i="1"/>
  <c r="D1295" i="1"/>
  <c r="E1295" i="1"/>
  <c r="A1296" i="1"/>
  <c r="B1296" i="1"/>
  <c r="C1296" i="1"/>
  <c r="D1296" i="1"/>
  <c r="E1296" i="1"/>
  <c r="A1297" i="1"/>
  <c r="B1297" i="1"/>
  <c r="C1297" i="1"/>
  <c r="D1297" i="1"/>
  <c r="E1297" i="1"/>
  <c r="A1298" i="1"/>
  <c r="B1298" i="1"/>
  <c r="C1298" i="1"/>
  <c r="D1298" i="1"/>
  <c r="E1298" i="1"/>
  <c r="A1299" i="1"/>
  <c r="B1299" i="1"/>
  <c r="C1299" i="1"/>
  <c r="D1299" i="1"/>
  <c r="E1299" i="1"/>
  <c r="A1300" i="1"/>
  <c r="B1300" i="1"/>
  <c r="C1300" i="1"/>
  <c r="D1300" i="1"/>
  <c r="E1300" i="1"/>
  <c r="A1301" i="1"/>
  <c r="B1301" i="1"/>
  <c r="C1301" i="1"/>
  <c r="D1301" i="1"/>
  <c r="E1301" i="1"/>
  <c r="A1302" i="1"/>
  <c r="B1302" i="1"/>
  <c r="C1302" i="1"/>
  <c r="D1302" i="1"/>
  <c r="E1302" i="1"/>
  <c r="A1303" i="1"/>
  <c r="B1303" i="1"/>
  <c r="C1303" i="1"/>
  <c r="D1303" i="1"/>
  <c r="E1303" i="1"/>
  <c r="A1304" i="1"/>
  <c r="B1304" i="1"/>
  <c r="C1304" i="1"/>
  <c r="D1304" i="1"/>
  <c r="E1304" i="1"/>
  <c r="A1305" i="1"/>
  <c r="B1305" i="1"/>
  <c r="C1305" i="1"/>
  <c r="D1305" i="1"/>
  <c r="E1305" i="1"/>
  <c r="A1306" i="1"/>
  <c r="B1306" i="1"/>
  <c r="C1306" i="1"/>
  <c r="D1306" i="1"/>
  <c r="E1306" i="1"/>
  <c r="A1307" i="1"/>
  <c r="B1307" i="1"/>
  <c r="C1307" i="1"/>
  <c r="D1307" i="1"/>
  <c r="E1307" i="1"/>
  <c r="A1308" i="1"/>
  <c r="B1308" i="1"/>
  <c r="C1308" i="1"/>
  <c r="D1308" i="1"/>
  <c r="E1308" i="1"/>
  <c r="A1309" i="1"/>
  <c r="B1309" i="1"/>
  <c r="C1309" i="1"/>
  <c r="D1309" i="1"/>
  <c r="E1309" i="1"/>
  <c r="A1310" i="1"/>
  <c r="B1310" i="1"/>
  <c r="C1310" i="1"/>
  <c r="D1310" i="1"/>
  <c r="E1310" i="1"/>
  <c r="A1311" i="1"/>
  <c r="B1311" i="1"/>
  <c r="C1311" i="1"/>
  <c r="D1311" i="1"/>
  <c r="E1311" i="1"/>
  <c r="A1312" i="1"/>
  <c r="B1312" i="1"/>
  <c r="C1312" i="1"/>
  <c r="D1312" i="1"/>
  <c r="E1312" i="1"/>
  <c r="A1313" i="1"/>
  <c r="B1313" i="1"/>
  <c r="C1313" i="1"/>
  <c r="D1313" i="1"/>
  <c r="E1313" i="1"/>
  <c r="A1314" i="1"/>
  <c r="B1314" i="1"/>
  <c r="C1314" i="1"/>
  <c r="D1314" i="1"/>
  <c r="E1314" i="1"/>
  <c r="A1315" i="1"/>
  <c r="B1315" i="1"/>
  <c r="C1315" i="1"/>
  <c r="D1315" i="1"/>
  <c r="E1315" i="1"/>
  <c r="A1316" i="1"/>
  <c r="B1316" i="1"/>
  <c r="C1316" i="1"/>
  <c r="D1316" i="1"/>
  <c r="E1316" i="1"/>
  <c r="A1317" i="1"/>
  <c r="B1317" i="1"/>
  <c r="C1317" i="1"/>
  <c r="D1317" i="1"/>
  <c r="E1317" i="1"/>
  <c r="A1318" i="1"/>
  <c r="B1318" i="1"/>
  <c r="C1318" i="1"/>
  <c r="D1318" i="1"/>
  <c r="E1318" i="1"/>
  <c r="A1319" i="1"/>
  <c r="B1319" i="1"/>
  <c r="C1319" i="1"/>
  <c r="D1319" i="1"/>
  <c r="E1319" i="1"/>
  <c r="A1320" i="1"/>
  <c r="B1320" i="1"/>
  <c r="C1320" i="1"/>
  <c r="D1320" i="1"/>
  <c r="E1320" i="1"/>
  <c r="A1321" i="1"/>
  <c r="B1321" i="1"/>
  <c r="C1321" i="1"/>
  <c r="D1321" i="1"/>
  <c r="E1321" i="1"/>
  <c r="A1322" i="1"/>
  <c r="B1322" i="1"/>
  <c r="C1322" i="1"/>
  <c r="D1322" i="1"/>
  <c r="E1322" i="1"/>
  <c r="A1323" i="1"/>
  <c r="B1323" i="1"/>
  <c r="C1323" i="1"/>
  <c r="D1323" i="1"/>
  <c r="E1323" i="1"/>
  <c r="A1324" i="1"/>
  <c r="B1324" i="1"/>
  <c r="C1324" i="1"/>
  <c r="D1324" i="1"/>
  <c r="E1324" i="1"/>
  <c r="A1325" i="1"/>
  <c r="B1325" i="1"/>
  <c r="C1325" i="1"/>
  <c r="D1325" i="1"/>
  <c r="E1325" i="1"/>
  <c r="A1326" i="1"/>
  <c r="B1326" i="1"/>
  <c r="C1326" i="1"/>
  <c r="D1326" i="1"/>
  <c r="E1326" i="1"/>
  <c r="A1327" i="1"/>
  <c r="B1327" i="1"/>
  <c r="C1327" i="1"/>
  <c r="D1327" i="1"/>
  <c r="E1327" i="1"/>
  <c r="A1328" i="1"/>
  <c r="B1328" i="1"/>
  <c r="C1328" i="1"/>
  <c r="D1328" i="1"/>
  <c r="E1328" i="1"/>
  <c r="A1329" i="1"/>
  <c r="B1329" i="1"/>
  <c r="C1329" i="1"/>
  <c r="D1329" i="1"/>
  <c r="E1329" i="1"/>
  <c r="A1330" i="1"/>
  <c r="B1330" i="1"/>
  <c r="C1330" i="1"/>
  <c r="D1330" i="1"/>
  <c r="E1330" i="1"/>
  <c r="A1331" i="1"/>
  <c r="B1331" i="1"/>
  <c r="C1331" i="1"/>
  <c r="D1331" i="1"/>
  <c r="E1331" i="1"/>
  <c r="A1332" i="1"/>
  <c r="B1332" i="1"/>
  <c r="C1332" i="1"/>
  <c r="D1332" i="1"/>
  <c r="E1332" i="1"/>
  <c r="A1333" i="1"/>
  <c r="B1333" i="1"/>
  <c r="C1333" i="1"/>
  <c r="D1333" i="1"/>
  <c r="E1333" i="1"/>
  <c r="A1334" i="1"/>
  <c r="B1334" i="1"/>
  <c r="C1334" i="1"/>
  <c r="D1334" i="1"/>
  <c r="E1334" i="1"/>
  <c r="A1335" i="1"/>
  <c r="B1335" i="1"/>
  <c r="C1335" i="1"/>
  <c r="D1335" i="1"/>
  <c r="E1335" i="1"/>
  <c r="A1336" i="1"/>
  <c r="B1336" i="1"/>
  <c r="C1336" i="1"/>
  <c r="D1336" i="1"/>
  <c r="E1336" i="1"/>
  <c r="A1337" i="1"/>
  <c r="B1337" i="1"/>
  <c r="C1337" i="1"/>
  <c r="D1337" i="1"/>
  <c r="E1337" i="1"/>
  <c r="A1338" i="1"/>
  <c r="B1338" i="1"/>
  <c r="C1338" i="1"/>
  <c r="D1338" i="1"/>
  <c r="E1338" i="1"/>
  <c r="A1339" i="1"/>
  <c r="B1339" i="1"/>
  <c r="C1339" i="1"/>
  <c r="D1339" i="1"/>
  <c r="E1339" i="1"/>
  <c r="A1340" i="1"/>
  <c r="B1340" i="1"/>
  <c r="C1340" i="1"/>
  <c r="D1340" i="1"/>
  <c r="E1340" i="1"/>
  <c r="A1341" i="1"/>
  <c r="B1341" i="1"/>
  <c r="C1341" i="1"/>
  <c r="D1341" i="1"/>
  <c r="E1341" i="1"/>
  <c r="A1342" i="1"/>
  <c r="B1342" i="1"/>
  <c r="C1342" i="1"/>
  <c r="D1342" i="1"/>
  <c r="E1342" i="1"/>
  <c r="A1343" i="1"/>
  <c r="B1343" i="1"/>
  <c r="C1343" i="1"/>
  <c r="D1343" i="1"/>
  <c r="E1343" i="1"/>
  <c r="A1344" i="1"/>
  <c r="B1344" i="1"/>
  <c r="C1344" i="1"/>
  <c r="D1344" i="1"/>
  <c r="E1344" i="1"/>
</calcChain>
</file>

<file path=xl/sharedStrings.xml><?xml version="1.0" encoding="utf-8"?>
<sst xmlns="http://schemas.openxmlformats.org/spreadsheetml/2006/main" count="2706" uniqueCount="21">
  <si>
    <t>2025 Phillips County Coordinated Election</t>
  </si>
  <si>
    <t>5.17.17.1</t>
  </si>
  <si>
    <t>Haxtun School District RE-2J Board of Directors (Vote For=2)</t>
  </si>
  <si>
    <t>Proposition LL (Statutory) (Vote For=1)</t>
  </si>
  <si>
    <t>Proposition MM (Statutory) (Vote For=1)</t>
  </si>
  <si>
    <t>Haxtun School District RE-2J Referred Ballot Issue 5A (Vote For=1)</t>
  </si>
  <si>
    <t>Christi Anne Gibson</t>
  </si>
  <si>
    <t>Amy Kilgour</t>
  </si>
  <si>
    <t>Yes/For</t>
  </si>
  <si>
    <t>No/Against</t>
  </si>
  <si>
    <t>CvrNumber</t>
  </si>
  <si>
    <t>TabulatorNum</t>
  </si>
  <si>
    <t>BatchId</t>
  </si>
  <si>
    <t>RecordId</t>
  </si>
  <si>
    <t>ImprintedId</t>
  </si>
  <si>
    <t>CountingGroup</t>
  </si>
  <si>
    <t>PrecinctPortion</t>
  </si>
  <si>
    <t>BallotType</t>
  </si>
  <si>
    <t>Regular</t>
  </si>
  <si>
    <t>2 (2)</t>
  </si>
  <si>
    <t>1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</si>
</sst>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4295-D8B6-4539-9CB7-623753F74C68}">
  <dimension ref="A1:P1344"/>
  <sheetViews>
    <sheetView tabSelected="1" workbookViewId="0">
      <selection activeCell="B1" sqref="B1"/>
    </sheetView>
  </sheetViews>
  <sheetFormatPr defaultRowHeight="15" x14ac:dyDescent="0.25"/>
  <sheetData>
    <row r="1" spans="1:16" x14ac:dyDescent="0.25">
      <c r="A1" t="s">
        <v>0</v>
      </c>
      <c r="B1" t="s">
        <v>1</v>
      </c>
    </row>
    <row r="2" spans="1:16" x14ac:dyDescent="0.25">
      <c r="I2" t="s">
        <v>2</v>
      </c>
      <c r="J2" t="s">
        <v>2</v>
      </c>
      <c r="K2" t="s">
        <v>3</v>
      </c>
      <c r="L2" t="s">
        <v>3</v>
      </c>
      <c r="M2" t="s">
        <v>4</v>
      </c>
      <c r="N2" t="s">
        <v>4</v>
      </c>
      <c r="O2" t="s">
        <v>5</v>
      </c>
      <c r="P2" t="s">
        <v>5</v>
      </c>
    </row>
    <row r="3" spans="1:16" x14ac:dyDescent="0.25">
      <c r="I3" t="s">
        <v>6</v>
      </c>
      <c r="J3" t="s">
        <v>7</v>
      </c>
      <c r="K3" t="s">
        <v>8</v>
      </c>
      <c r="L3" t="s">
        <v>9</v>
      </c>
      <c r="M3" t="s">
        <v>8</v>
      </c>
      <c r="N3" t="s">
        <v>9</v>
      </c>
      <c r="O3" t="s">
        <v>8</v>
      </c>
      <c r="P3" t="s">
        <v>9</v>
      </c>
    </row>
    <row r="4" spans="1:16" x14ac:dyDescent="0.25">
      <c r="A4" t="s">
        <v>10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</row>
    <row r="5" spans="1:16" x14ac:dyDescent="0.25">
      <c r="A5" t="str">
        <f>"1"</f>
        <v>1</v>
      </c>
      <c r="B5" t="str">
        <f t="shared" ref="B5:B68" si="0">"102"</f>
        <v>102</v>
      </c>
      <c r="C5" t="str">
        <f t="shared" ref="C5:C29" si="1">"1"</f>
        <v>1</v>
      </c>
      <c r="D5" t="str">
        <f>"25"</f>
        <v>25</v>
      </c>
      <c r="E5" t="str">
        <f>"102-1-25"</f>
        <v>102-1-25</v>
      </c>
      <c r="F5" t="s">
        <v>18</v>
      </c>
      <c r="G5" t="s">
        <v>19</v>
      </c>
      <c r="H5">
        <v>2</v>
      </c>
      <c r="I5">
        <v>0</v>
      </c>
      <c r="J5">
        <v>1</v>
      </c>
      <c r="K5">
        <v>0</v>
      </c>
      <c r="L5">
        <v>1</v>
      </c>
      <c r="M5">
        <v>0</v>
      </c>
      <c r="N5">
        <v>1</v>
      </c>
      <c r="O5">
        <v>0</v>
      </c>
      <c r="P5">
        <v>1</v>
      </c>
    </row>
    <row r="6" spans="1:16" x14ac:dyDescent="0.25">
      <c r="A6" t="str">
        <f>"2"</f>
        <v>2</v>
      </c>
      <c r="B6" t="str">
        <f t="shared" si="0"/>
        <v>102</v>
      </c>
      <c r="C6" t="str">
        <f t="shared" si="1"/>
        <v>1</v>
      </c>
      <c r="D6" t="str">
        <f>"24"</f>
        <v>24</v>
      </c>
      <c r="E6" t="str">
        <f>"102-1-24"</f>
        <v>102-1-24</v>
      </c>
      <c r="F6" t="s">
        <v>18</v>
      </c>
      <c r="G6" t="s">
        <v>20</v>
      </c>
      <c r="H6">
        <v>1</v>
      </c>
      <c r="K6">
        <v>0</v>
      </c>
      <c r="L6">
        <v>1</v>
      </c>
      <c r="M6">
        <v>0</v>
      </c>
      <c r="N6">
        <v>1</v>
      </c>
    </row>
    <row r="7" spans="1:16" x14ac:dyDescent="0.25">
      <c r="A7" t="str">
        <f>"3"</f>
        <v>3</v>
      </c>
      <c r="B7" t="str">
        <f t="shared" si="0"/>
        <v>102</v>
      </c>
      <c r="C7" t="str">
        <f t="shared" si="1"/>
        <v>1</v>
      </c>
      <c r="D7" t="str">
        <f>"16"</f>
        <v>16</v>
      </c>
      <c r="E7" t="str">
        <f>"102-1-16"</f>
        <v>102-1-16</v>
      </c>
      <c r="F7" t="s">
        <v>18</v>
      </c>
      <c r="G7" t="s">
        <v>20</v>
      </c>
      <c r="H7">
        <v>1</v>
      </c>
      <c r="K7">
        <v>1</v>
      </c>
      <c r="L7">
        <v>0</v>
      </c>
      <c r="M7">
        <v>1</v>
      </c>
      <c r="N7">
        <v>0</v>
      </c>
    </row>
    <row r="8" spans="1:16" x14ac:dyDescent="0.25">
      <c r="A8" t="str">
        <f>"4"</f>
        <v>4</v>
      </c>
      <c r="B8" t="str">
        <f t="shared" si="0"/>
        <v>102</v>
      </c>
      <c r="C8" t="str">
        <f t="shared" si="1"/>
        <v>1</v>
      </c>
      <c r="D8" t="str">
        <f>"11"</f>
        <v>11</v>
      </c>
      <c r="E8" t="str">
        <f>"102-1-11"</f>
        <v>102-1-11</v>
      </c>
      <c r="F8" t="s">
        <v>18</v>
      </c>
      <c r="G8" t="s">
        <v>19</v>
      </c>
      <c r="H8">
        <v>2</v>
      </c>
      <c r="I8">
        <v>0</v>
      </c>
      <c r="J8">
        <v>0</v>
      </c>
      <c r="K8">
        <v>0</v>
      </c>
      <c r="L8">
        <v>1</v>
      </c>
      <c r="M8">
        <v>0</v>
      </c>
      <c r="N8">
        <v>1</v>
      </c>
      <c r="O8">
        <v>0</v>
      </c>
      <c r="P8">
        <v>1</v>
      </c>
    </row>
    <row r="9" spans="1:16" x14ac:dyDescent="0.25">
      <c r="A9" t="str">
        <f>"5"</f>
        <v>5</v>
      </c>
      <c r="B9" t="str">
        <f t="shared" si="0"/>
        <v>102</v>
      </c>
      <c r="C9" t="str">
        <f t="shared" si="1"/>
        <v>1</v>
      </c>
      <c r="D9" t="str">
        <f>"7"</f>
        <v>7</v>
      </c>
      <c r="E9" t="str">
        <f>"102-1-7"</f>
        <v>102-1-7</v>
      </c>
      <c r="F9" t="s">
        <v>18</v>
      </c>
      <c r="G9" t="s">
        <v>19</v>
      </c>
      <c r="H9">
        <v>2</v>
      </c>
      <c r="I9">
        <v>1</v>
      </c>
      <c r="J9">
        <v>1</v>
      </c>
      <c r="K9">
        <v>0</v>
      </c>
      <c r="L9">
        <v>1</v>
      </c>
      <c r="M9">
        <v>0</v>
      </c>
      <c r="N9">
        <v>1</v>
      </c>
      <c r="O9">
        <v>1</v>
      </c>
      <c r="P9">
        <v>0</v>
      </c>
    </row>
    <row r="10" spans="1:16" x14ac:dyDescent="0.25">
      <c r="A10" t="str">
        <f>"6"</f>
        <v>6</v>
      </c>
      <c r="B10" t="str">
        <f t="shared" si="0"/>
        <v>102</v>
      </c>
      <c r="C10" t="str">
        <f t="shared" si="1"/>
        <v>1</v>
      </c>
      <c r="D10" t="str">
        <f>"12"</f>
        <v>12</v>
      </c>
      <c r="E10" t="str">
        <f>"102-1-12"</f>
        <v>102-1-12</v>
      </c>
      <c r="F10" t="s">
        <v>18</v>
      </c>
      <c r="G10" t="s">
        <v>20</v>
      </c>
      <c r="H10">
        <v>1</v>
      </c>
      <c r="K10">
        <v>1</v>
      </c>
      <c r="L10">
        <v>0</v>
      </c>
      <c r="M10">
        <v>0</v>
      </c>
      <c r="N10">
        <v>1</v>
      </c>
    </row>
    <row r="11" spans="1:16" x14ac:dyDescent="0.25">
      <c r="A11" t="str">
        <f>"7"</f>
        <v>7</v>
      </c>
      <c r="B11" t="str">
        <f t="shared" si="0"/>
        <v>102</v>
      </c>
      <c r="C11" t="str">
        <f t="shared" si="1"/>
        <v>1</v>
      </c>
      <c r="D11" t="str">
        <f>"4"</f>
        <v>4</v>
      </c>
      <c r="E11" t="str">
        <f>"102-1-4"</f>
        <v>102-1-4</v>
      </c>
      <c r="F11" t="s">
        <v>18</v>
      </c>
      <c r="G11" t="s">
        <v>19</v>
      </c>
      <c r="H11">
        <v>2</v>
      </c>
      <c r="I11">
        <v>0</v>
      </c>
      <c r="J11">
        <v>0</v>
      </c>
      <c r="K11">
        <v>0</v>
      </c>
      <c r="L11">
        <v>1</v>
      </c>
      <c r="M11">
        <v>0</v>
      </c>
      <c r="N11">
        <v>1</v>
      </c>
      <c r="O11">
        <v>0</v>
      </c>
      <c r="P11">
        <v>1</v>
      </c>
    </row>
    <row r="12" spans="1:16" x14ac:dyDescent="0.25">
      <c r="A12" t="str">
        <f>"8"</f>
        <v>8</v>
      </c>
      <c r="B12" t="str">
        <f t="shared" si="0"/>
        <v>102</v>
      </c>
      <c r="C12" t="str">
        <f t="shared" si="1"/>
        <v>1</v>
      </c>
      <c r="D12" t="str">
        <f>"13"</f>
        <v>13</v>
      </c>
      <c r="E12" t="str">
        <f>"102-1-13"</f>
        <v>102-1-13</v>
      </c>
      <c r="F12" t="s">
        <v>18</v>
      </c>
      <c r="G12" t="s">
        <v>20</v>
      </c>
      <c r="H12">
        <v>1</v>
      </c>
      <c r="K12">
        <v>0</v>
      </c>
      <c r="L12">
        <v>1</v>
      </c>
      <c r="M12">
        <v>0</v>
      </c>
      <c r="N12">
        <v>1</v>
      </c>
    </row>
    <row r="13" spans="1:16" x14ac:dyDescent="0.25">
      <c r="A13" t="str">
        <f>"9"</f>
        <v>9</v>
      </c>
      <c r="B13" t="str">
        <f t="shared" si="0"/>
        <v>102</v>
      </c>
      <c r="C13" t="str">
        <f t="shared" si="1"/>
        <v>1</v>
      </c>
      <c r="D13" t="str">
        <f>"6"</f>
        <v>6</v>
      </c>
      <c r="E13" t="str">
        <f>"102-1-6"</f>
        <v>102-1-6</v>
      </c>
      <c r="F13" t="s">
        <v>18</v>
      </c>
      <c r="G13" t="s">
        <v>19</v>
      </c>
      <c r="H13">
        <v>2</v>
      </c>
      <c r="I13">
        <v>1</v>
      </c>
      <c r="J13">
        <v>1</v>
      </c>
      <c r="K13">
        <v>0</v>
      </c>
      <c r="L13">
        <v>1</v>
      </c>
      <c r="M13">
        <v>0</v>
      </c>
      <c r="N13">
        <v>1</v>
      </c>
      <c r="O13">
        <v>1</v>
      </c>
      <c r="P13">
        <v>0</v>
      </c>
    </row>
    <row r="14" spans="1:16" x14ac:dyDescent="0.25">
      <c r="A14" t="str">
        <f>"10"</f>
        <v>10</v>
      </c>
      <c r="B14" t="str">
        <f t="shared" si="0"/>
        <v>102</v>
      </c>
      <c r="C14" t="str">
        <f t="shared" si="1"/>
        <v>1</v>
      </c>
      <c r="D14" t="str">
        <f>"8"</f>
        <v>8</v>
      </c>
      <c r="E14" t="str">
        <f>"102-1-8"</f>
        <v>102-1-8</v>
      </c>
      <c r="F14" t="s">
        <v>18</v>
      </c>
      <c r="G14" t="s">
        <v>19</v>
      </c>
      <c r="H14">
        <v>2</v>
      </c>
      <c r="I14">
        <v>1</v>
      </c>
      <c r="J14">
        <v>1</v>
      </c>
      <c r="K14">
        <v>0</v>
      </c>
      <c r="L14">
        <v>1</v>
      </c>
      <c r="M14">
        <v>0</v>
      </c>
      <c r="N14">
        <v>1</v>
      </c>
      <c r="O14">
        <v>0</v>
      </c>
      <c r="P14">
        <v>1</v>
      </c>
    </row>
    <row r="15" spans="1:16" x14ac:dyDescent="0.25">
      <c r="A15" t="str">
        <f>"11"</f>
        <v>11</v>
      </c>
      <c r="B15" t="str">
        <f t="shared" si="0"/>
        <v>102</v>
      </c>
      <c r="C15" t="str">
        <f t="shared" si="1"/>
        <v>1</v>
      </c>
      <c r="D15" t="str">
        <f>"23"</f>
        <v>23</v>
      </c>
      <c r="E15" t="str">
        <f>"102-1-23"</f>
        <v>102-1-23</v>
      </c>
      <c r="F15" t="s">
        <v>18</v>
      </c>
      <c r="G15" t="s">
        <v>20</v>
      </c>
      <c r="H15">
        <v>1</v>
      </c>
      <c r="K15">
        <v>0</v>
      </c>
      <c r="L15">
        <v>1</v>
      </c>
      <c r="M15">
        <v>0</v>
      </c>
      <c r="N15">
        <v>1</v>
      </c>
    </row>
    <row r="16" spans="1:16" x14ac:dyDescent="0.25">
      <c r="A16" t="str">
        <f>"12"</f>
        <v>12</v>
      </c>
      <c r="B16" t="str">
        <f t="shared" si="0"/>
        <v>102</v>
      </c>
      <c r="C16" t="str">
        <f t="shared" si="1"/>
        <v>1</v>
      </c>
      <c r="D16" t="str">
        <f>"15"</f>
        <v>15</v>
      </c>
      <c r="E16" t="str">
        <f>"102-1-15"</f>
        <v>102-1-15</v>
      </c>
      <c r="F16" t="s">
        <v>18</v>
      </c>
      <c r="G16" t="s">
        <v>20</v>
      </c>
      <c r="H16">
        <v>1</v>
      </c>
      <c r="K16">
        <v>0</v>
      </c>
      <c r="L16">
        <v>1</v>
      </c>
      <c r="M16">
        <v>0</v>
      </c>
      <c r="N16">
        <v>1</v>
      </c>
    </row>
    <row r="17" spans="1:16" x14ac:dyDescent="0.25">
      <c r="A17" t="str">
        <f>"13"</f>
        <v>13</v>
      </c>
      <c r="B17" t="str">
        <f t="shared" si="0"/>
        <v>102</v>
      </c>
      <c r="C17" t="str">
        <f t="shared" si="1"/>
        <v>1</v>
      </c>
      <c r="D17" t="str">
        <f>"2"</f>
        <v>2</v>
      </c>
      <c r="E17" t="str">
        <f>"102-1-2"</f>
        <v>102-1-2</v>
      </c>
      <c r="F17" t="s">
        <v>18</v>
      </c>
      <c r="G17" t="s">
        <v>19</v>
      </c>
      <c r="H17">
        <v>2</v>
      </c>
      <c r="I17">
        <v>0</v>
      </c>
      <c r="J17">
        <v>1</v>
      </c>
      <c r="K17">
        <v>1</v>
      </c>
      <c r="L17">
        <v>0</v>
      </c>
      <c r="M17">
        <v>1</v>
      </c>
      <c r="N17">
        <v>0</v>
      </c>
      <c r="O17">
        <v>1</v>
      </c>
      <c r="P17">
        <v>0</v>
      </c>
    </row>
    <row r="18" spans="1:16" x14ac:dyDescent="0.25">
      <c r="A18" t="str">
        <f>"14"</f>
        <v>14</v>
      </c>
      <c r="B18" t="str">
        <f t="shared" si="0"/>
        <v>102</v>
      </c>
      <c r="C18" t="str">
        <f t="shared" si="1"/>
        <v>1</v>
      </c>
      <c r="D18" t="str">
        <f>"17"</f>
        <v>17</v>
      </c>
      <c r="E18" t="str">
        <f>"102-1-17"</f>
        <v>102-1-17</v>
      </c>
      <c r="F18" t="s">
        <v>18</v>
      </c>
      <c r="G18" t="s">
        <v>20</v>
      </c>
      <c r="H18">
        <v>1</v>
      </c>
      <c r="K18">
        <v>1</v>
      </c>
      <c r="L18">
        <v>0</v>
      </c>
      <c r="M18">
        <v>1</v>
      </c>
      <c r="N18">
        <v>0</v>
      </c>
    </row>
    <row r="19" spans="1:16" x14ac:dyDescent="0.25">
      <c r="A19" t="str">
        <f>"15"</f>
        <v>15</v>
      </c>
      <c r="B19" t="str">
        <f t="shared" si="0"/>
        <v>102</v>
      </c>
      <c r="C19" t="str">
        <f t="shared" si="1"/>
        <v>1</v>
      </c>
      <c r="D19" t="str">
        <f>"1"</f>
        <v>1</v>
      </c>
      <c r="E19" t="str">
        <f>"102-1-1"</f>
        <v>102-1-1</v>
      </c>
      <c r="F19" t="s">
        <v>18</v>
      </c>
      <c r="G19" t="s">
        <v>19</v>
      </c>
      <c r="H19">
        <v>2</v>
      </c>
      <c r="I19">
        <v>1</v>
      </c>
      <c r="J19">
        <v>1</v>
      </c>
      <c r="K19">
        <v>1</v>
      </c>
      <c r="L19">
        <v>0</v>
      </c>
      <c r="M19">
        <v>1</v>
      </c>
      <c r="N19">
        <v>0</v>
      </c>
      <c r="O19">
        <v>1</v>
      </c>
      <c r="P19">
        <v>0</v>
      </c>
    </row>
    <row r="20" spans="1:16" x14ac:dyDescent="0.25">
      <c r="A20" t="str">
        <f>"16"</f>
        <v>16</v>
      </c>
      <c r="B20" t="str">
        <f t="shared" si="0"/>
        <v>102</v>
      </c>
      <c r="C20" t="str">
        <f t="shared" si="1"/>
        <v>1</v>
      </c>
      <c r="D20" t="str">
        <f>"18"</f>
        <v>18</v>
      </c>
      <c r="E20" t="str">
        <f>"102-1-18"</f>
        <v>102-1-18</v>
      </c>
      <c r="F20" t="s">
        <v>18</v>
      </c>
      <c r="G20" t="s">
        <v>20</v>
      </c>
      <c r="H20">
        <v>1</v>
      </c>
      <c r="K20">
        <v>1</v>
      </c>
      <c r="L20">
        <v>0</v>
      </c>
      <c r="M20">
        <v>1</v>
      </c>
      <c r="N20">
        <v>0</v>
      </c>
    </row>
    <row r="21" spans="1:16" x14ac:dyDescent="0.25">
      <c r="A21" t="str">
        <f>"17"</f>
        <v>17</v>
      </c>
      <c r="B21" t="str">
        <f t="shared" si="0"/>
        <v>102</v>
      </c>
      <c r="C21" t="str">
        <f t="shared" si="1"/>
        <v>1</v>
      </c>
      <c r="D21" t="str">
        <f>"3"</f>
        <v>3</v>
      </c>
      <c r="E21" t="str">
        <f>"102-1-3"</f>
        <v>102-1-3</v>
      </c>
      <c r="F21" t="s">
        <v>18</v>
      </c>
      <c r="G21" t="s">
        <v>19</v>
      </c>
      <c r="H21">
        <v>2</v>
      </c>
      <c r="I21">
        <v>1</v>
      </c>
      <c r="J21">
        <v>1</v>
      </c>
      <c r="K21">
        <v>0</v>
      </c>
      <c r="L21">
        <v>1</v>
      </c>
      <c r="M21">
        <v>0</v>
      </c>
      <c r="N21">
        <v>1</v>
      </c>
      <c r="O21">
        <v>0</v>
      </c>
      <c r="P21">
        <v>1</v>
      </c>
    </row>
    <row r="22" spans="1:16" x14ac:dyDescent="0.25">
      <c r="A22" t="str">
        <f>"18"</f>
        <v>18</v>
      </c>
      <c r="B22" t="str">
        <f t="shared" si="0"/>
        <v>102</v>
      </c>
      <c r="C22" t="str">
        <f t="shared" si="1"/>
        <v>1</v>
      </c>
      <c r="D22" t="str">
        <f>"19"</f>
        <v>19</v>
      </c>
      <c r="E22" t="str">
        <f>"102-1-19"</f>
        <v>102-1-19</v>
      </c>
      <c r="F22" t="s">
        <v>18</v>
      </c>
      <c r="G22" t="s">
        <v>20</v>
      </c>
      <c r="H22">
        <v>1</v>
      </c>
      <c r="K22">
        <v>0</v>
      </c>
      <c r="L22">
        <v>1</v>
      </c>
      <c r="M22">
        <v>0</v>
      </c>
      <c r="N22">
        <v>1</v>
      </c>
    </row>
    <row r="23" spans="1:16" x14ac:dyDescent="0.25">
      <c r="A23" t="str">
        <f>"19"</f>
        <v>19</v>
      </c>
      <c r="B23" t="str">
        <f t="shared" si="0"/>
        <v>102</v>
      </c>
      <c r="C23" t="str">
        <f t="shared" si="1"/>
        <v>1</v>
      </c>
      <c r="D23" t="str">
        <f>"9"</f>
        <v>9</v>
      </c>
      <c r="E23" t="str">
        <f>"102-1-9"</f>
        <v>102-1-9</v>
      </c>
      <c r="F23" t="s">
        <v>18</v>
      </c>
      <c r="G23" t="s">
        <v>19</v>
      </c>
      <c r="H23">
        <v>2</v>
      </c>
      <c r="I23">
        <v>0</v>
      </c>
      <c r="J23">
        <v>0</v>
      </c>
      <c r="K23">
        <v>0</v>
      </c>
      <c r="L23">
        <v>1</v>
      </c>
      <c r="M23">
        <v>0</v>
      </c>
      <c r="N23">
        <v>1</v>
      </c>
      <c r="O23">
        <v>0</v>
      </c>
      <c r="P23">
        <v>1</v>
      </c>
    </row>
    <row r="24" spans="1:16" x14ac:dyDescent="0.25">
      <c r="A24" t="str">
        <f>"20"</f>
        <v>20</v>
      </c>
      <c r="B24" t="str">
        <f t="shared" si="0"/>
        <v>102</v>
      </c>
      <c r="C24" t="str">
        <f t="shared" si="1"/>
        <v>1</v>
      </c>
      <c r="D24" t="str">
        <f>"20"</f>
        <v>20</v>
      </c>
      <c r="E24" t="str">
        <f>"102-1-20"</f>
        <v>102-1-20</v>
      </c>
      <c r="F24" t="s">
        <v>18</v>
      </c>
      <c r="G24" t="s">
        <v>20</v>
      </c>
      <c r="H24">
        <v>1</v>
      </c>
      <c r="K24">
        <v>0</v>
      </c>
      <c r="L24">
        <v>1</v>
      </c>
      <c r="M24">
        <v>0</v>
      </c>
      <c r="N24">
        <v>1</v>
      </c>
    </row>
    <row r="25" spans="1:16" x14ac:dyDescent="0.25">
      <c r="A25" t="str">
        <f>"21"</f>
        <v>21</v>
      </c>
      <c r="B25" t="str">
        <f t="shared" si="0"/>
        <v>102</v>
      </c>
      <c r="C25" t="str">
        <f t="shared" si="1"/>
        <v>1</v>
      </c>
      <c r="D25" t="str">
        <f>"5"</f>
        <v>5</v>
      </c>
      <c r="E25" t="str">
        <f>"102-1-5"</f>
        <v>102-1-5</v>
      </c>
      <c r="F25" t="s">
        <v>18</v>
      </c>
      <c r="G25" t="s">
        <v>19</v>
      </c>
      <c r="H25">
        <v>2</v>
      </c>
      <c r="I25">
        <v>1</v>
      </c>
      <c r="J25">
        <v>1</v>
      </c>
      <c r="K25">
        <v>1</v>
      </c>
      <c r="L25">
        <v>0</v>
      </c>
      <c r="M25">
        <v>0</v>
      </c>
      <c r="N25">
        <v>1</v>
      </c>
      <c r="O25">
        <v>1</v>
      </c>
      <c r="P25">
        <v>0</v>
      </c>
    </row>
    <row r="26" spans="1:16" x14ac:dyDescent="0.25">
      <c r="A26" t="str">
        <f>"22"</f>
        <v>22</v>
      </c>
      <c r="B26" t="str">
        <f t="shared" si="0"/>
        <v>102</v>
      </c>
      <c r="C26" t="str">
        <f t="shared" si="1"/>
        <v>1</v>
      </c>
      <c r="D26" t="str">
        <f>"22"</f>
        <v>22</v>
      </c>
      <c r="E26" t="str">
        <f>"102-1-22"</f>
        <v>102-1-22</v>
      </c>
      <c r="F26" t="s">
        <v>18</v>
      </c>
      <c r="G26" t="s">
        <v>20</v>
      </c>
      <c r="H26">
        <v>1</v>
      </c>
      <c r="K26">
        <v>0</v>
      </c>
      <c r="L26">
        <v>1</v>
      </c>
      <c r="M26">
        <v>0</v>
      </c>
      <c r="N26">
        <v>1</v>
      </c>
    </row>
    <row r="27" spans="1:16" x14ac:dyDescent="0.25">
      <c r="A27" t="str">
        <f>"23"</f>
        <v>23</v>
      </c>
      <c r="B27" t="str">
        <f t="shared" si="0"/>
        <v>102</v>
      </c>
      <c r="C27" t="str">
        <f t="shared" si="1"/>
        <v>1</v>
      </c>
      <c r="D27" t="str">
        <f>"21"</f>
        <v>21</v>
      </c>
      <c r="E27" t="str">
        <f>"102-1-21"</f>
        <v>102-1-21</v>
      </c>
      <c r="F27" t="s">
        <v>18</v>
      </c>
      <c r="G27" t="s">
        <v>20</v>
      </c>
      <c r="H27">
        <v>1</v>
      </c>
      <c r="K27">
        <v>0</v>
      </c>
      <c r="L27">
        <v>1</v>
      </c>
      <c r="M27">
        <v>0</v>
      </c>
      <c r="N27">
        <v>1</v>
      </c>
    </row>
    <row r="28" spans="1:16" x14ac:dyDescent="0.25">
      <c r="A28" t="str">
        <f>"24"</f>
        <v>24</v>
      </c>
      <c r="B28" t="str">
        <f t="shared" si="0"/>
        <v>102</v>
      </c>
      <c r="C28" t="str">
        <f t="shared" si="1"/>
        <v>1</v>
      </c>
      <c r="D28" t="str">
        <f>"10"</f>
        <v>10</v>
      </c>
      <c r="E28" t="str">
        <f>"102-1-10"</f>
        <v>102-1-10</v>
      </c>
      <c r="F28" t="s">
        <v>18</v>
      </c>
      <c r="G28" t="s">
        <v>19</v>
      </c>
      <c r="H28">
        <v>2</v>
      </c>
      <c r="I28">
        <v>0</v>
      </c>
      <c r="J28">
        <v>0</v>
      </c>
      <c r="K28">
        <v>0</v>
      </c>
      <c r="L28">
        <v>1</v>
      </c>
      <c r="M28">
        <v>0</v>
      </c>
      <c r="N28">
        <v>1</v>
      </c>
      <c r="O28">
        <v>0</v>
      </c>
      <c r="P28">
        <v>1</v>
      </c>
    </row>
    <row r="29" spans="1:16" x14ac:dyDescent="0.25">
      <c r="A29" t="str">
        <f>"25"</f>
        <v>25</v>
      </c>
      <c r="B29" t="str">
        <f t="shared" si="0"/>
        <v>102</v>
      </c>
      <c r="C29" t="str">
        <f t="shared" si="1"/>
        <v>1</v>
      </c>
      <c r="D29" t="str">
        <f>"14"</f>
        <v>14</v>
      </c>
      <c r="E29" t="str">
        <f>"102-1-14"</f>
        <v>102-1-14</v>
      </c>
      <c r="F29" t="s">
        <v>18</v>
      </c>
      <c r="G29" t="s">
        <v>20</v>
      </c>
      <c r="H29">
        <v>1</v>
      </c>
      <c r="K29">
        <v>0</v>
      </c>
      <c r="L29">
        <v>0</v>
      </c>
      <c r="M29">
        <v>0</v>
      </c>
      <c r="N29">
        <v>0</v>
      </c>
    </row>
    <row r="30" spans="1:16" x14ac:dyDescent="0.25">
      <c r="A30" t="str">
        <f>"26"</f>
        <v>26</v>
      </c>
      <c r="B30" t="str">
        <f t="shared" si="0"/>
        <v>102</v>
      </c>
      <c r="C30" t="str">
        <f t="shared" ref="C30:C54" si="2">"2"</f>
        <v>2</v>
      </c>
      <c r="D30" t="str">
        <f>"23"</f>
        <v>23</v>
      </c>
      <c r="E30" t="str">
        <f>"102-2-23"</f>
        <v>102-2-23</v>
      </c>
      <c r="F30" t="s">
        <v>18</v>
      </c>
      <c r="G30" t="s">
        <v>20</v>
      </c>
      <c r="H30">
        <v>1</v>
      </c>
      <c r="K30">
        <v>1</v>
      </c>
      <c r="L30">
        <v>0</v>
      </c>
      <c r="M30">
        <v>1</v>
      </c>
      <c r="N30">
        <v>0</v>
      </c>
    </row>
    <row r="31" spans="1:16" x14ac:dyDescent="0.25">
      <c r="A31" t="str">
        <f>"27"</f>
        <v>27</v>
      </c>
      <c r="B31" t="str">
        <f t="shared" si="0"/>
        <v>102</v>
      </c>
      <c r="C31" t="str">
        <f t="shared" si="2"/>
        <v>2</v>
      </c>
      <c r="D31" t="str">
        <f>"22"</f>
        <v>22</v>
      </c>
      <c r="E31" t="str">
        <f>"102-2-22"</f>
        <v>102-2-22</v>
      </c>
      <c r="F31" t="s">
        <v>18</v>
      </c>
      <c r="G31" t="s">
        <v>20</v>
      </c>
      <c r="H31">
        <v>1</v>
      </c>
      <c r="K31">
        <v>1</v>
      </c>
      <c r="L31">
        <v>0</v>
      </c>
      <c r="M31">
        <v>1</v>
      </c>
      <c r="N31">
        <v>0</v>
      </c>
    </row>
    <row r="32" spans="1:16" x14ac:dyDescent="0.25">
      <c r="A32" t="str">
        <f>"28"</f>
        <v>28</v>
      </c>
      <c r="B32" t="str">
        <f t="shared" si="0"/>
        <v>102</v>
      </c>
      <c r="C32" t="str">
        <f t="shared" si="2"/>
        <v>2</v>
      </c>
      <c r="D32" t="str">
        <f>"16"</f>
        <v>16</v>
      </c>
      <c r="E32" t="str">
        <f>"102-2-16"</f>
        <v>102-2-16</v>
      </c>
      <c r="F32" t="s">
        <v>18</v>
      </c>
      <c r="G32" t="s">
        <v>20</v>
      </c>
      <c r="H32">
        <v>1</v>
      </c>
      <c r="K32">
        <v>1</v>
      </c>
      <c r="L32">
        <v>0</v>
      </c>
      <c r="M32">
        <v>1</v>
      </c>
      <c r="N32">
        <v>0</v>
      </c>
    </row>
    <row r="33" spans="1:14" x14ac:dyDescent="0.25">
      <c r="A33" t="str">
        <f>"29"</f>
        <v>29</v>
      </c>
      <c r="B33" t="str">
        <f t="shared" si="0"/>
        <v>102</v>
      </c>
      <c r="C33" t="str">
        <f t="shared" si="2"/>
        <v>2</v>
      </c>
      <c r="D33" t="str">
        <f>"11"</f>
        <v>11</v>
      </c>
      <c r="E33" t="str">
        <f>"102-2-11"</f>
        <v>102-2-11</v>
      </c>
      <c r="F33" t="s">
        <v>18</v>
      </c>
      <c r="G33" t="s">
        <v>20</v>
      </c>
      <c r="H33">
        <v>1</v>
      </c>
      <c r="K33">
        <v>0</v>
      </c>
      <c r="L33">
        <v>1</v>
      </c>
      <c r="M33">
        <v>0</v>
      </c>
      <c r="N33">
        <v>1</v>
      </c>
    </row>
    <row r="34" spans="1:14" x14ac:dyDescent="0.25">
      <c r="A34" t="str">
        <f>"30"</f>
        <v>30</v>
      </c>
      <c r="B34" t="str">
        <f t="shared" si="0"/>
        <v>102</v>
      </c>
      <c r="C34" t="str">
        <f t="shared" si="2"/>
        <v>2</v>
      </c>
      <c r="D34" t="str">
        <f>"1"</f>
        <v>1</v>
      </c>
      <c r="E34" t="str">
        <f>"102-2-1"</f>
        <v>102-2-1</v>
      </c>
      <c r="F34" t="s">
        <v>18</v>
      </c>
      <c r="G34" t="s">
        <v>20</v>
      </c>
      <c r="H34">
        <v>1</v>
      </c>
      <c r="K34">
        <v>0</v>
      </c>
      <c r="L34">
        <v>1</v>
      </c>
      <c r="M34">
        <v>0</v>
      </c>
      <c r="N34">
        <v>1</v>
      </c>
    </row>
    <row r="35" spans="1:14" x14ac:dyDescent="0.25">
      <c r="A35" t="str">
        <f>"31"</f>
        <v>31</v>
      </c>
      <c r="B35" t="str">
        <f t="shared" si="0"/>
        <v>102</v>
      </c>
      <c r="C35" t="str">
        <f t="shared" si="2"/>
        <v>2</v>
      </c>
      <c r="D35" t="str">
        <f>"25"</f>
        <v>25</v>
      </c>
      <c r="E35" t="str">
        <f>"102-2-25"</f>
        <v>102-2-25</v>
      </c>
      <c r="F35" t="s">
        <v>18</v>
      </c>
      <c r="G35" t="s">
        <v>20</v>
      </c>
      <c r="H35">
        <v>1</v>
      </c>
      <c r="K35">
        <v>1</v>
      </c>
      <c r="L35">
        <v>0</v>
      </c>
      <c r="M35">
        <v>0</v>
      </c>
      <c r="N35">
        <v>1</v>
      </c>
    </row>
    <row r="36" spans="1:14" x14ac:dyDescent="0.25">
      <c r="A36" t="str">
        <f>"32"</f>
        <v>32</v>
      </c>
      <c r="B36" t="str">
        <f t="shared" si="0"/>
        <v>102</v>
      </c>
      <c r="C36" t="str">
        <f t="shared" si="2"/>
        <v>2</v>
      </c>
      <c r="D36" t="str">
        <f>"12"</f>
        <v>12</v>
      </c>
      <c r="E36" t="str">
        <f>"102-2-12"</f>
        <v>102-2-12</v>
      </c>
      <c r="F36" t="s">
        <v>18</v>
      </c>
      <c r="G36" t="s">
        <v>20</v>
      </c>
      <c r="H36">
        <v>1</v>
      </c>
      <c r="K36">
        <v>0</v>
      </c>
      <c r="L36">
        <v>0</v>
      </c>
      <c r="M36">
        <v>1</v>
      </c>
      <c r="N36">
        <v>0</v>
      </c>
    </row>
    <row r="37" spans="1:14" x14ac:dyDescent="0.25">
      <c r="A37" t="str">
        <f>"33"</f>
        <v>33</v>
      </c>
      <c r="B37" t="str">
        <f t="shared" si="0"/>
        <v>102</v>
      </c>
      <c r="C37" t="str">
        <f t="shared" si="2"/>
        <v>2</v>
      </c>
      <c r="D37" t="str">
        <f>"3"</f>
        <v>3</v>
      </c>
      <c r="E37" t="str">
        <f>"102-2-3"</f>
        <v>102-2-3</v>
      </c>
      <c r="F37" t="s">
        <v>18</v>
      </c>
      <c r="G37" t="s">
        <v>20</v>
      </c>
      <c r="H37">
        <v>1</v>
      </c>
      <c r="K37">
        <v>0</v>
      </c>
      <c r="L37">
        <v>1</v>
      </c>
      <c r="M37">
        <v>0</v>
      </c>
      <c r="N37">
        <v>1</v>
      </c>
    </row>
    <row r="38" spans="1:14" x14ac:dyDescent="0.25">
      <c r="A38" t="str">
        <f>"34"</f>
        <v>34</v>
      </c>
      <c r="B38" t="str">
        <f t="shared" si="0"/>
        <v>102</v>
      </c>
      <c r="C38" t="str">
        <f t="shared" si="2"/>
        <v>2</v>
      </c>
      <c r="D38" t="str">
        <f>"13"</f>
        <v>13</v>
      </c>
      <c r="E38" t="str">
        <f>"102-2-13"</f>
        <v>102-2-13</v>
      </c>
      <c r="F38" t="s">
        <v>18</v>
      </c>
      <c r="G38" t="s">
        <v>20</v>
      </c>
      <c r="H38">
        <v>1</v>
      </c>
      <c r="K38">
        <v>0</v>
      </c>
      <c r="L38">
        <v>1</v>
      </c>
      <c r="M38">
        <v>0</v>
      </c>
      <c r="N38">
        <v>1</v>
      </c>
    </row>
    <row r="39" spans="1:14" x14ac:dyDescent="0.25">
      <c r="A39" t="str">
        <f>"35"</f>
        <v>35</v>
      </c>
      <c r="B39" t="str">
        <f t="shared" si="0"/>
        <v>102</v>
      </c>
      <c r="C39" t="str">
        <f t="shared" si="2"/>
        <v>2</v>
      </c>
      <c r="D39" t="str">
        <f>"2"</f>
        <v>2</v>
      </c>
      <c r="E39" t="str">
        <f>"102-2-2"</f>
        <v>102-2-2</v>
      </c>
      <c r="F39" t="s">
        <v>18</v>
      </c>
      <c r="G39" t="s">
        <v>20</v>
      </c>
      <c r="H39">
        <v>1</v>
      </c>
      <c r="K39">
        <v>0</v>
      </c>
      <c r="L39">
        <v>1</v>
      </c>
      <c r="M39">
        <v>0</v>
      </c>
      <c r="N39">
        <v>1</v>
      </c>
    </row>
    <row r="40" spans="1:14" x14ac:dyDescent="0.25">
      <c r="A40" t="str">
        <f>"36"</f>
        <v>36</v>
      </c>
      <c r="B40" t="str">
        <f t="shared" si="0"/>
        <v>102</v>
      </c>
      <c r="C40" t="str">
        <f t="shared" si="2"/>
        <v>2</v>
      </c>
      <c r="D40" t="str">
        <f>"14"</f>
        <v>14</v>
      </c>
      <c r="E40" t="str">
        <f>"102-2-14"</f>
        <v>102-2-14</v>
      </c>
      <c r="F40" t="s">
        <v>18</v>
      </c>
      <c r="G40" t="s">
        <v>20</v>
      </c>
      <c r="H40">
        <v>1</v>
      </c>
      <c r="K40">
        <v>0</v>
      </c>
      <c r="L40">
        <v>1</v>
      </c>
      <c r="M40">
        <v>0</v>
      </c>
      <c r="N40">
        <v>1</v>
      </c>
    </row>
    <row r="41" spans="1:14" x14ac:dyDescent="0.25">
      <c r="A41" t="str">
        <f>"37"</f>
        <v>37</v>
      </c>
      <c r="B41" t="str">
        <f t="shared" si="0"/>
        <v>102</v>
      </c>
      <c r="C41" t="str">
        <f t="shared" si="2"/>
        <v>2</v>
      </c>
      <c r="D41" t="str">
        <f>"5"</f>
        <v>5</v>
      </c>
      <c r="E41" t="str">
        <f>"102-2-5"</f>
        <v>102-2-5</v>
      </c>
      <c r="F41" t="s">
        <v>18</v>
      </c>
      <c r="G41" t="s">
        <v>20</v>
      </c>
      <c r="H41">
        <v>1</v>
      </c>
      <c r="K41">
        <v>1</v>
      </c>
      <c r="L41">
        <v>0</v>
      </c>
      <c r="M41">
        <v>1</v>
      </c>
      <c r="N41">
        <v>0</v>
      </c>
    </row>
    <row r="42" spans="1:14" x14ac:dyDescent="0.25">
      <c r="A42" t="str">
        <f>"38"</f>
        <v>38</v>
      </c>
      <c r="B42" t="str">
        <f t="shared" si="0"/>
        <v>102</v>
      </c>
      <c r="C42" t="str">
        <f t="shared" si="2"/>
        <v>2</v>
      </c>
      <c r="D42" t="str">
        <f>"15"</f>
        <v>15</v>
      </c>
      <c r="E42" t="str">
        <f>"102-2-15"</f>
        <v>102-2-15</v>
      </c>
      <c r="F42" t="s">
        <v>18</v>
      </c>
      <c r="G42" t="s">
        <v>20</v>
      </c>
      <c r="H42">
        <v>1</v>
      </c>
      <c r="K42">
        <v>1</v>
      </c>
      <c r="L42">
        <v>0</v>
      </c>
      <c r="M42">
        <v>1</v>
      </c>
      <c r="N42">
        <v>0</v>
      </c>
    </row>
    <row r="43" spans="1:14" x14ac:dyDescent="0.25">
      <c r="A43" t="str">
        <f>"39"</f>
        <v>39</v>
      </c>
      <c r="B43" t="str">
        <f t="shared" si="0"/>
        <v>102</v>
      </c>
      <c r="C43" t="str">
        <f t="shared" si="2"/>
        <v>2</v>
      </c>
      <c r="D43" t="str">
        <f>"4"</f>
        <v>4</v>
      </c>
      <c r="E43" t="str">
        <f>"102-2-4"</f>
        <v>102-2-4</v>
      </c>
      <c r="F43" t="s">
        <v>18</v>
      </c>
      <c r="G43" t="s">
        <v>20</v>
      </c>
      <c r="H43">
        <v>1</v>
      </c>
      <c r="K43">
        <v>1</v>
      </c>
      <c r="L43">
        <v>0</v>
      </c>
      <c r="M43">
        <v>1</v>
      </c>
      <c r="N43">
        <v>0</v>
      </c>
    </row>
    <row r="44" spans="1:14" x14ac:dyDescent="0.25">
      <c r="A44" t="str">
        <f>"40"</f>
        <v>40</v>
      </c>
      <c r="B44" t="str">
        <f t="shared" si="0"/>
        <v>102</v>
      </c>
      <c r="C44" t="str">
        <f t="shared" si="2"/>
        <v>2</v>
      </c>
      <c r="D44" t="str">
        <f>"17"</f>
        <v>17</v>
      </c>
      <c r="E44" t="str">
        <f>"102-2-17"</f>
        <v>102-2-17</v>
      </c>
      <c r="F44" t="s">
        <v>18</v>
      </c>
      <c r="G44" t="s">
        <v>20</v>
      </c>
      <c r="H44">
        <v>1</v>
      </c>
      <c r="K44">
        <v>0</v>
      </c>
      <c r="L44">
        <v>1</v>
      </c>
      <c r="M44">
        <v>0</v>
      </c>
      <c r="N44">
        <v>1</v>
      </c>
    </row>
    <row r="45" spans="1:14" x14ac:dyDescent="0.25">
      <c r="A45" t="str">
        <f>"41"</f>
        <v>41</v>
      </c>
      <c r="B45" t="str">
        <f t="shared" si="0"/>
        <v>102</v>
      </c>
      <c r="C45" t="str">
        <f t="shared" si="2"/>
        <v>2</v>
      </c>
      <c r="D45" t="str">
        <f>"7"</f>
        <v>7</v>
      </c>
      <c r="E45" t="str">
        <f>"102-2-7"</f>
        <v>102-2-7</v>
      </c>
      <c r="F45" t="s">
        <v>18</v>
      </c>
      <c r="G45" t="s">
        <v>20</v>
      </c>
      <c r="H45">
        <v>1</v>
      </c>
      <c r="K45">
        <v>1</v>
      </c>
      <c r="L45">
        <v>0</v>
      </c>
      <c r="M45">
        <v>1</v>
      </c>
      <c r="N45">
        <v>0</v>
      </c>
    </row>
    <row r="46" spans="1:14" x14ac:dyDescent="0.25">
      <c r="A46" t="str">
        <f>"42"</f>
        <v>42</v>
      </c>
      <c r="B46" t="str">
        <f t="shared" si="0"/>
        <v>102</v>
      </c>
      <c r="C46" t="str">
        <f t="shared" si="2"/>
        <v>2</v>
      </c>
      <c r="D46" t="str">
        <f>"18"</f>
        <v>18</v>
      </c>
      <c r="E46" t="str">
        <f>"102-2-18"</f>
        <v>102-2-18</v>
      </c>
      <c r="F46" t="s">
        <v>18</v>
      </c>
      <c r="G46" t="s">
        <v>20</v>
      </c>
      <c r="H46">
        <v>1</v>
      </c>
      <c r="K46">
        <v>0</v>
      </c>
      <c r="L46">
        <v>1</v>
      </c>
      <c r="M46">
        <v>0</v>
      </c>
      <c r="N46">
        <v>1</v>
      </c>
    </row>
    <row r="47" spans="1:14" x14ac:dyDescent="0.25">
      <c r="A47" t="str">
        <f>"43"</f>
        <v>43</v>
      </c>
      <c r="B47" t="str">
        <f t="shared" si="0"/>
        <v>102</v>
      </c>
      <c r="C47" t="str">
        <f t="shared" si="2"/>
        <v>2</v>
      </c>
      <c r="D47" t="str">
        <f>"10"</f>
        <v>10</v>
      </c>
      <c r="E47" t="str">
        <f>"102-2-10"</f>
        <v>102-2-10</v>
      </c>
      <c r="F47" t="s">
        <v>18</v>
      </c>
      <c r="G47" t="s">
        <v>20</v>
      </c>
      <c r="H47">
        <v>1</v>
      </c>
      <c r="K47">
        <v>0</v>
      </c>
      <c r="L47">
        <v>1</v>
      </c>
      <c r="M47">
        <v>0</v>
      </c>
      <c r="N47">
        <v>1</v>
      </c>
    </row>
    <row r="48" spans="1:14" x14ac:dyDescent="0.25">
      <c r="A48" t="str">
        <f>"44"</f>
        <v>44</v>
      </c>
      <c r="B48" t="str">
        <f t="shared" si="0"/>
        <v>102</v>
      </c>
      <c r="C48" t="str">
        <f t="shared" si="2"/>
        <v>2</v>
      </c>
      <c r="D48" t="str">
        <f>"24"</f>
        <v>24</v>
      </c>
      <c r="E48" t="str">
        <f>"102-2-24"</f>
        <v>102-2-24</v>
      </c>
      <c r="F48" t="s">
        <v>18</v>
      </c>
      <c r="G48" t="s">
        <v>20</v>
      </c>
      <c r="H48">
        <v>1</v>
      </c>
      <c r="K48">
        <v>0</v>
      </c>
      <c r="L48">
        <v>1</v>
      </c>
      <c r="M48">
        <v>0</v>
      </c>
      <c r="N48">
        <v>1</v>
      </c>
    </row>
    <row r="49" spans="1:14" x14ac:dyDescent="0.25">
      <c r="A49" t="str">
        <f>"45"</f>
        <v>45</v>
      </c>
      <c r="B49" t="str">
        <f t="shared" si="0"/>
        <v>102</v>
      </c>
      <c r="C49" t="str">
        <f t="shared" si="2"/>
        <v>2</v>
      </c>
      <c r="D49" t="str">
        <f>"19"</f>
        <v>19</v>
      </c>
      <c r="E49" t="str">
        <f>"102-2-19"</f>
        <v>102-2-19</v>
      </c>
      <c r="F49" t="s">
        <v>18</v>
      </c>
      <c r="G49" t="s">
        <v>20</v>
      </c>
      <c r="H49">
        <v>1</v>
      </c>
      <c r="K49">
        <v>0</v>
      </c>
      <c r="L49">
        <v>1</v>
      </c>
      <c r="M49">
        <v>0</v>
      </c>
      <c r="N49">
        <v>1</v>
      </c>
    </row>
    <row r="50" spans="1:14" x14ac:dyDescent="0.25">
      <c r="A50" t="str">
        <f>"46"</f>
        <v>46</v>
      </c>
      <c r="B50" t="str">
        <f t="shared" si="0"/>
        <v>102</v>
      </c>
      <c r="C50" t="str">
        <f t="shared" si="2"/>
        <v>2</v>
      </c>
      <c r="D50" t="str">
        <f>"6"</f>
        <v>6</v>
      </c>
      <c r="E50" t="str">
        <f>"102-2-6"</f>
        <v>102-2-6</v>
      </c>
      <c r="F50" t="s">
        <v>18</v>
      </c>
      <c r="G50" t="s">
        <v>20</v>
      </c>
      <c r="H50">
        <v>1</v>
      </c>
      <c r="K50">
        <v>0</v>
      </c>
      <c r="L50">
        <v>1</v>
      </c>
      <c r="M50">
        <v>0</v>
      </c>
      <c r="N50">
        <v>1</v>
      </c>
    </row>
    <row r="51" spans="1:14" x14ac:dyDescent="0.25">
      <c r="A51" t="str">
        <f>"47"</f>
        <v>47</v>
      </c>
      <c r="B51" t="str">
        <f t="shared" si="0"/>
        <v>102</v>
      </c>
      <c r="C51" t="str">
        <f t="shared" si="2"/>
        <v>2</v>
      </c>
      <c r="D51" t="str">
        <f>"20"</f>
        <v>20</v>
      </c>
      <c r="E51" t="str">
        <f>"102-2-20"</f>
        <v>102-2-20</v>
      </c>
      <c r="F51" t="s">
        <v>18</v>
      </c>
      <c r="G51" t="s">
        <v>20</v>
      </c>
      <c r="H51">
        <v>1</v>
      </c>
      <c r="K51">
        <v>1</v>
      </c>
      <c r="L51">
        <v>0</v>
      </c>
      <c r="M51">
        <v>0</v>
      </c>
      <c r="N51">
        <v>1</v>
      </c>
    </row>
    <row r="52" spans="1:14" x14ac:dyDescent="0.25">
      <c r="A52" t="str">
        <f>"48"</f>
        <v>48</v>
      </c>
      <c r="B52" t="str">
        <f t="shared" si="0"/>
        <v>102</v>
      </c>
      <c r="C52" t="str">
        <f t="shared" si="2"/>
        <v>2</v>
      </c>
      <c r="D52" t="str">
        <f>"8"</f>
        <v>8</v>
      </c>
      <c r="E52" t="str">
        <f>"102-2-8"</f>
        <v>102-2-8</v>
      </c>
      <c r="F52" t="s">
        <v>18</v>
      </c>
      <c r="G52" t="s">
        <v>20</v>
      </c>
      <c r="H52">
        <v>1</v>
      </c>
      <c r="K52">
        <v>1</v>
      </c>
      <c r="L52">
        <v>0</v>
      </c>
      <c r="M52">
        <v>1</v>
      </c>
      <c r="N52">
        <v>0</v>
      </c>
    </row>
    <row r="53" spans="1:14" x14ac:dyDescent="0.25">
      <c r="A53" t="str">
        <f>"49"</f>
        <v>49</v>
      </c>
      <c r="B53" t="str">
        <f t="shared" si="0"/>
        <v>102</v>
      </c>
      <c r="C53" t="str">
        <f t="shared" si="2"/>
        <v>2</v>
      </c>
      <c r="D53" t="str">
        <f>"21"</f>
        <v>21</v>
      </c>
      <c r="E53" t="str">
        <f>"102-2-21"</f>
        <v>102-2-21</v>
      </c>
      <c r="F53" t="s">
        <v>18</v>
      </c>
      <c r="G53" t="s">
        <v>20</v>
      </c>
      <c r="H53">
        <v>1</v>
      </c>
      <c r="K53">
        <v>0</v>
      </c>
      <c r="L53">
        <v>1</v>
      </c>
      <c r="M53">
        <v>0</v>
      </c>
      <c r="N53">
        <v>1</v>
      </c>
    </row>
    <row r="54" spans="1:14" x14ac:dyDescent="0.25">
      <c r="A54" t="str">
        <f>"50"</f>
        <v>50</v>
      </c>
      <c r="B54" t="str">
        <f t="shared" si="0"/>
        <v>102</v>
      </c>
      <c r="C54" t="str">
        <f t="shared" si="2"/>
        <v>2</v>
      </c>
      <c r="D54" t="str">
        <f>"9"</f>
        <v>9</v>
      </c>
      <c r="E54" t="str">
        <f>"102-2-9"</f>
        <v>102-2-9</v>
      </c>
      <c r="F54" t="s">
        <v>18</v>
      </c>
      <c r="G54" t="s">
        <v>20</v>
      </c>
      <c r="H54">
        <v>1</v>
      </c>
      <c r="K54">
        <v>0</v>
      </c>
      <c r="L54">
        <v>1</v>
      </c>
      <c r="M54">
        <v>0</v>
      </c>
      <c r="N54">
        <v>1</v>
      </c>
    </row>
    <row r="55" spans="1:14" x14ac:dyDescent="0.25">
      <c r="A55" t="str">
        <f>"51"</f>
        <v>51</v>
      </c>
      <c r="B55" t="str">
        <f t="shared" si="0"/>
        <v>102</v>
      </c>
      <c r="C55" t="str">
        <f t="shared" ref="C55:C79" si="3">"3"</f>
        <v>3</v>
      </c>
      <c r="D55" t="str">
        <f>"25"</f>
        <v>25</v>
      </c>
      <c r="E55" t="str">
        <f>"102-3-25"</f>
        <v>102-3-25</v>
      </c>
      <c r="F55" t="s">
        <v>18</v>
      </c>
      <c r="G55" t="s">
        <v>20</v>
      </c>
      <c r="H55">
        <v>1</v>
      </c>
      <c r="K55">
        <v>0</v>
      </c>
      <c r="L55">
        <v>1</v>
      </c>
      <c r="M55">
        <v>0</v>
      </c>
      <c r="N55">
        <v>1</v>
      </c>
    </row>
    <row r="56" spans="1:14" x14ac:dyDescent="0.25">
      <c r="A56" t="str">
        <f>"52"</f>
        <v>52</v>
      </c>
      <c r="B56" t="str">
        <f t="shared" si="0"/>
        <v>102</v>
      </c>
      <c r="C56" t="str">
        <f t="shared" si="3"/>
        <v>3</v>
      </c>
      <c r="D56" t="str">
        <f>"24"</f>
        <v>24</v>
      </c>
      <c r="E56" t="str">
        <f>"102-3-24"</f>
        <v>102-3-24</v>
      </c>
      <c r="F56" t="s">
        <v>18</v>
      </c>
      <c r="G56" t="s">
        <v>20</v>
      </c>
      <c r="H56">
        <v>1</v>
      </c>
      <c r="K56">
        <v>1</v>
      </c>
      <c r="L56">
        <v>0</v>
      </c>
      <c r="M56">
        <v>0</v>
      </c>
      <c r="N56">
        <v>1</v>
      </c>
    </row>
    <row r="57" spans="1:14" x14ac:dyDescent="0.25">
      <c r="A57" t="str">
        <f>"53"</f>
        <v>53</v>
      </c>
      <c r="B57" t="str">
        <f t="shared" si="0"/>
        <v>102</v>
      </c>
      <c r="C57" t="str">
        <f t="shared" si="3"/>
        <v>3</v>
      </c>
      <c r="D57" t="str">
        <f>"20"</f>
        <v>20</v>
      </c>
      <c r="E57" t="str">
        <f>"102-3-20"</f>
        <v>102-3-20</v>
      </c>
      <c r="F57" t="s">
        <v>18</v>
      </c>
      <c r="G57" t="s">
        <v>20</v>
      </c>
      <c r="H57">
        <v>1</v>
      </c>
      <c r="K57">
        <v>0</v>
      </c>
      <c r="L57">
        <v>1</v>
      </c>
      <c r="M57">
        <v>0</v>
      </c>
      <c r="N57">
        <v>1</v>
      </c>
    </row>
    <row r="58" spans="1:14" x14ac:dyDescent="0.25">
      <c r="A58" t="str">
        <f>"54"</f>
        <v>54</v>
      </c>
      <c r="B58" t="str">
        <f t="shared" si="0"/>
        <v>102</v>
      </c>
      <c r="C58" t="str">
        <f t="shared" si="3"/>
        <v>3</v>
      </c>
      <c r="D58" t="str">
        <f>"11"</f>
        <v>11</v>
      </c>
      <c r="E58" t="str">
        <f>"102-3-11"</f>
        <v>102-3-11</v>
      </c>
      <c r="F58" t="s">
        <v>18</v>
      </c>
      <c r="G58" t="s">
        <v>20</v>
      </c>
      <c r="H58">
        <v>1</v>
      </c>
      <c r="K58">
        <v>0</v>
      </c>
      <c r="L58">
        <v>1</v>
      </c>
      <c r="M58">
        <v>0</v>
      </c>
      <c r="N58">
        <v>1</v>
      </c>
    </row>
    <row r="59" spans="1:14" x14ac:dyDescent="0.25">
      <c r="A59" t="str">
        <f>"55"</f>
        <v>55</v>
      </c>
      <c r="B59" t="str">
        <f t="shared" si="0"/>
        <v>102</v>
      </c>
      <c r="C59" t="str">
        <f t="shared" si="3"/>
        <v>3</v>
      </c>
      <c r="D59" t="str">
        <f>"1"</f>
        <v>1</v>
      </c>
      <c r="E59" t="str">
        <f>"102-3-1"</f>
        <v>102-3-1</v>
      </c>
      <c r="F59" t="s">
        <v>18</v>
      </c>
      <c r="G59" t="s">
        <v>20</v>
      </c>
      <c r="H59">
        <v>1</v>
      </c>
      <c r="K59">
        <v>1</v>
      </c>
      <c r="L59">
        <v>0</v>
      </c>
      <c r="M59">
        <v>1</v>
      </c>
      <c r="N59">
        <v>0</v>
      </c>
    </row>
    <row r="60" spans="1:14" x14ac:dyDescent="0.25">
      <c r="A60" t="str">
        <f>"56"</f>
        <v>56</v>
      </c>
      <c r="B60" t="str">
        <f t="shared" si="0"/>
        <v>102</v>
      </c>
      <c r="C60" t="str">
        <f t="shared" si="3"/>
        <v>3</v>
      </c>
      <c r="D60" t="str">
        <f>"22"</f>
        <v>22</v>
      </c>
      <c r="E60" t="str">
        <f>"102-3-22"</f>
        <v>102-3-22</v>
      </c>
      <c r="F60" t="s">
        <v>18</v>
      </c>
      <c r="G60" t="s">
        <v>20</v>
      </c>
      <c r="H60">
        <v>1</v>
      </c>
      <c r="K60">
        <v>0</v>
      </c>
      <c r="L60">
        <v>1</v>
      </c>
      <c r="M60">
        <v>0</v>
      </c>
      <c r="N60">
        <v>1</v>
      </c>
    </row>
    <row r="61" spans="1:14" x14ac:dyDescent="0.25">
      <c r="A61" t="str">
        <f>"57"</f>
        <v>57</v>
      </c>
      <c r="B61" t="str">
        <f t="shared" si="0"/>
        <v>102</v>
      </c>
      <c r="C61" t="str">
        <f t="shared" si="3"/>
        <v>3</v>
      </c>
      <c r="D61" t="str">
        <f>"12"</f>
        <v>12</v>
      </c>
      <c r="E61" t="str">
        <f>"102-3-12"</f>
        <v>102-3-12</v>
      </c>
      <c r="F61" t="s">
        <v>18</v>
      </c>
      <c r="G61" t="s">
        <v>20</v>
      </c>
      <c r="H61">
        <v>1</v>
      </c>
      <c r="K61">
        <v>0</v>
      </c>
      <c r="L61">
        <v>1</v>
      </c>
      <c r="M61">
        <v>0</v>
      </c>
      <c r="N61">
        <v>1</v>
      </c>
    </row>
    <row r="62" spans="1:14" x14ac:dyDescent="0.25">
      <c r="A62" t="str">
        <f>"58"</f>
        <v>58</v>
      </c>
      <c r="B62" t="str">
        <f t="shared" si="0"/>
        <v>102</v>
      </c>
      <c r="C62" t="str">
        <f t="shared" si="3"/>
        <v>3</v>
      </c>
      <c r="D62" t="str">
        <f>"2"</f>
        <v>2</v>
      </c>
      <c r="E62" t="str">
        <f>"102-3-2"</f>
        <v>102-3-2</v>
      </c>
      <c r="F62" t="s">
        <v>18</v>
      </c>
      <c r="G62" t="s">
        <v>20</v>
      </c>
      <c r="H62">
        <v>1</v>
      </c>
      <c r="K62">
        <v>1</v>
      </c>
      <c r="L62">
        <v>0</v>
      </c>
      <c r="M62">
        <v>1</v>
      </c>
      <c r="N62">
        <v>0</v>
      </c>
    </row>
    <row r="63" spans="1:14" x14ac:dyDescent="0.25">
      <c r="A63" t="str">
        <f>"59"</f>
        <v>59</v>
      </c>
      <c r="B63" t="str">
        <f t="shared" si="0"/>
        <v>102</v>
      </c>
      <c r="C63" t="str">
        <f t="shared" si="3"/>
        <v>3</v>
      </c>
      <c r="D63" t="str">
        <f>"13"</f>
        <v>13</v>
      </c>
      <c r="E63" t="str">
        <f>"102-3-13"</f>
        <v>102-3-13</v>
      </c>
      <c r="F63" t="s">
        <v>18</v>
      </c>
      <c r="G63" t="s">
        <v>20</v>
      </c>
      <c r="H63">
        <v>1</v>
      </c>
      <c r="K63">
        <v>0</v>
      </c>
      <c r="L63">
        <v>1</v>
      </c>
      <c r="M63">
        <v>0</v>
      </c>
      <c r="N63">
        <v>1</v>
      </c>
    </row>
    <row r="64" spans="1:14" x14ac:dyDescent="0.25">
      <c r="A64" t="str">
        <f>"60"</f>
        <v>60</v>
      </c>
      <c r="B64" t="str">
        <f t="shared" si="0"/>
        <v>102</v>
      </c>
      <c r="C64" t="str">
        <f t="shared" si="3"/>
        <v>3</v>
      </c>
      <c r="D64" t="str">
        <f>"6"</f>
        <v>6</v>
      </c>
      <c r="E64" t="str">
        <f>"102-3-6"</f>
        <v>102-3-6</v>
      </c>
      <c r="F64" t="s">
        <v>18</v>
      </c>
      <c r="G64" t="s">
        <v>20</v>
      </c>
      <c r="H64">
        <v>1</v>
      </c>
      <c r="K64">
        <v>0</v>
      </c>
      <c r="L64">
        <v>1</v>
      </c>
      <c r="M64">
        <v>0</v>
      </c>
      <c r="N64">
        <v>1</v>
      </c>
    </row>
    <row r="65" spans="1:16" x14ac:dyDescent="0.25">
      <c r="A65" t="str">
        <f>"61"</f>
        <v>61</v>
      </c>
      <c r="B65" t="str">
        <f t="shared" si="0"/>
        <v>102</v>
      </c>
      <c r="C65" t="str">
        <f t="shared" si="3"/>
        <v>3</v>
      </c>
      <c r="D65" t="str">
        <f>"14"</f>
        <v>14</v>
      </c>
      <c r="E65" t="str">
        <f>"102-3-14"</f>
        <v>102-3-14</v>
      </c>
      <c r="F65" t="s">
        <v>18</v>
      </c>
      <c r="G65" t="s">
        <v>20</v>
      </c>
      <c r="H65">
        <v>1</v>
      </c>
      <c r="K65">
        <v>0</v>
      </c>
      <c r="L65">
        <v>1</v>
      </c>
      <c r="M65">
        <v>0</v>
      </c>
      <c r="N65">
        <v>1</v>
      </c>
    </row>
    <row r="66" spans="1:16" x14ac:dyDescent="0.25">
      <c r="A66" t="str">
        <f>"62"</f>
        <v>62</v>
      </c>
      <c r="B66" t="str">
        <f t="shared" si="0"/>
        <v>102</v>
      </c>
      <c r="C66" t="str">
        <f t="shared" si="3"/>
        <v>3</v>
      </c>
      <c r="D66" t="str">
        <f>"5"</f>
        <v>5</v>
      </c>
      <c r="E66" t="str">
        <f>"102-3-5"</f>
        <v>102-3-5</v>
      </c>
      <c r="F66" t="s">
        <v>18</v>
      </c>
      <c r="G66" t="s">
        <v>20</v>
      </c>
      <c r="H66">
        <v>1</v>
      </c>
      <c r="K66">
        <v>1</v>
      </c>
      <c r="L66">
        <v>0</v>
      </c>
      <c r="M66">
        <v>0</v>
      </c>
      <c r="N66">
        <v>1</v>
      </c>
    </row>
    <row r="67" spans="1:16" x14ac:dyDescent="0.25">
      <c r="A67" t="str">
        <f>"63"</f>
        <v>63</v>
      </c>
      <c r="B67" t="str">
        <f t="shared" si="0"/>
        <v>102</v>
      </c>
      <c r="C67" t="str">
        <f t="shared" si="3"/>
        <v>3</v>
      </c>
      <c r="D67" t="str">
        <f>"15"</f>
        <v>15</v>
      </c>
      <c r="E67" t="str">
        <f>"102-3-15"</f>
        <v>102-3-15</v>
      </c>
      <c r="F67" t="s">
        <v>18</v>
      </c>
      <c r="G67" t="s">
        <v>20</v>
      </c>
      <c r="H67">
        <v>1</v>
      </c>
      <c r="K67">
        <v>0</v>
      </c>
      <c r="L67">
        <v>1</v>
      </c>
      <c r="M67">
        <v>0</v>
      </c>
      <c r="N67">
        <v>1</v>
      </c>
    </row>
    <row r="68" spans="1:16" x14ac:dyDescent="0.25">
      <c r="A68" t="str">
        <f>"64"</f>
        <v>64</v>
      </c>
      <c r="B68" t="str">
        <f t="shared" si="0"/>
        <v>102</v>
      </c>
      <c r="C68" t="str">
        <f t="shared" si="3"/>
        <v>3</v>
      </c>
      <c r="D68" t="str">
        <f>"3"</f>
        <v>3</v>
      </c>
      <c r="E68" t="str">
        <f>"102-3-3"</f>
        <v>102-3-3</v>
      </c>
      <c r="F68" t="s">
        <v>18</v>
      </c>
      <c r="G68" t="s">
        <v>20</v>
      </c>
      <c r="H68">
        <v>1</v>
      </c>
      <c r="K68">
        <v>0</v>
      </c>
      <c r="L68">
        <v>1</v>
      </c>
      <c r="M68">
        <v>0</v>
      </c>
      <c r="N68">
        <v>1</v>
      </c>
    </row>
    <row r="69" spans="1:16" x14ac:dyDescent="0.25">
      <c r="A69" t="str">
        <f>"65"</f>
        <v>65</v>
      </c>
      <c r="B69" t="str">
        <f t="shared" ref="B69:B132" si="4">"102"</f>
        <v>102</v>
      </c>
      <c r="C69" t="str">
        <f t="shared" si="3"/>
        <v>3</v>
      </c>
      <c r="D69" t="str">
        <f>"23"</f>
        <v>23</v>
      </c>
      <c r="E69" t="str">
        <f>"102-3-23"</f>
        <v>102-3-23</v>
      </c>
      <c r="F69" t="s">
        <v>18</v>
      </c>
      <c r="G69" t="s">
        <v>20</v>
      </c>
      <c r="H69">
        <v>1</v>
      </c>
      <c r="K69">
        <v>1</v>
      </c>
      <c r="L69">
        <v>0</v>
      </c>
      <c r="M69">
        <v>0</v>
      </c>
      <c r="N69">
        <v>1</v>
      </c>
    </row>
    <row r="70" spans="1:16" x14ac:dyDescent="0.25">
      <c r="A70" t="str">
        <f>"66"</f>
        <v>66</v>
      </c>
      <c r="B70" t="str">
        <f t="shared" si="4"/>
        <v>102</v>
      </c>
      <c r="C70" t="str">
        <f t="shared" si="3"/>
        <v>3</v>
      </c>
      <c r="D70" t="str">
        <f>"16"</f>
        <v>16</v>
      </c>
      <c r="E70" t="str">
        <f>"102-3-16"</f>
        <v>102-3-16</v>
      </c>
      <c r="F70" t="s">
        <v>18</v>
      </c>
      <c r="G70" t="s">
        <v>20</v>
      </c>
      <c r="H70">
        <v>1</v>
      </c>
      <c r="K70">
        <v>0</v>
      </c>
      <c r="L70">
        <v>1</v>
      </c>
      <c r="M70">
        <v>0</v>
      </c>
      <c r="N70">
        <v>1</v>
      </c>
    </row>
    <row r="71" spans="1:16" x14ac:dyDescent="0.25">
      <c r="A71" t="str">
        <f>"67"</f>
        <v>67</v>
      </c>
      <c r="B71" t="str">
        <f t="shared" si="4"/>
        <v>102</v>
      </c>
      <c r="C71" t="str">
        <f t="shared" si="3"/>
        <v>3</v>
      </c>
      <c r="D71" t="str">
        <f>"8"</f>
        <v>8</v>
      </c>
      <c r="E71" t="str">
        <f>"102-3-8"</f>
        <v>102-3-8</v>
      </c>
      <c r="F71" t="s">
        <v>18</v>
      </c>
      <c r="G71" t="s">
        <v>20</v>
      </c>
      <c r="H71">
        <v>1</v>
      </c>
      <c r="K71">
        <v>1</v>
      </c>
      <c r="L71">
        <v>0</v>
      </c>
      <c r="M71">
        <v>1</v>
      </c>
      <c r="N71">
        <v>0</v>
      </c>
    </row>
    <row r="72" spans="1:16" x14ac:dyDescent="0.25">
      <c r="A72" t="str">
        <f>"68"</f>
        <v>68</v>
      </c>
      <c r="B72" t="str">
        <f t="shared" si="4"/>
        <v>102</v>
      </c>
      <c r="C72" t="str">
        <f t="shared" si="3"/>
        <v>3</v>
      </c>
      <c r="D72" t="str">
        <f>"17"</f>
        <v>17</v>
      </c>
      <c r="E72" t="str">
        <f>"102-3-17"</f>
        <v>102-3-17</v>
      </c>
      <c r="F72" t="s">
        <v>18</v>
      </c>
      <c r="G72" t="s">
        <v>20</v>
      </c>
      <c r="H72">
        <v>1</v>
      </c>
      <c r="K72">
        <v>0</v>
      </c>
      <c r="L72">
        <v>0</v>
      </c>
      <c r="M72">
        <v>0</v>
      </c>
      <c r="N72">
        <v>1</v>
      </c>
    </row>
    <row r="73" spans="1:16" x14ac:dyDescent="0.25">
      <c r="A73" t="str">
        <f>"69"</f>
        <v>69</v>
      </c>
      <c r="B73" t="str">
        <f t="shared" si="4"/>
        <v>102</v>
      </c>
      <c r="C73" t="str">
        <f t="shared" si="3"/>
        <v>3</v>
      </c>
      <c r="D73" t="str">
        <f>"4"</f>
        <v>4</v>
      </c>
      <c r="E73" t="str">
        <f>"102-3-4"</f>
        <v>102-3-4</v>
      </c>
      <c r="F73" t="s">
        <v>18</v>
      </c>
      <c r="G73" t="s">
        <v>20</v>
      </c>
      <c r="H73">
        <v>1</v>
      </c>
      <c r="K73">
        <v>0</v>
      </c>
      <c r="L73">
        <v>1</v>
      </c>
      <c r="M73">
        <v>0</v>
      </c>
      <c r="N73">
        <v>1</v>
      </c>
    </row>
    <row r="74" spans="1:16" x14ac:dyDescent="0.25">
      <c r="A74" t="str">
        <f>"70"</f>
        <v>70</v>
      </c>
      <c r="B74" t="str">
        <f t="shared" si="4"/>
        <v>102</v>
      </c>
      <c r="C74" t="str">
        <f t="shared" si="3"/>
        <v>3</v>
      </c>
      <c r="D74" t="str">
        <f>"18"</f>
        <v>18</v>
      </c>
      <c r="E74" t="str">
        <f>"102-3-18"</f>
        <v>102-3-18</v>
      </c>
      <c r="F74" t="s">
        <v>18</v>
      </c>
      <c r="G74" t="s">
        <v>20</v>
      </c>
      <c r="H74">
        <v>1</v>
      </c>
      <c r="K74">
        <v>0</v>
      </c>
      <c r="L74">
        <v>1</v>
      </c>
      <c r="M74">
        <v>0</v>
      </c>
      <c r="N74">
        <v>1</v>
      </c>
    </row>
    <row r="75" spans="1:16" x14ac:dyDescent="0.25">
      <c r="A75" t="str">
        <f>"71"</f>
        <v>71</v>
      </c>
      <c r="B75" t="str">
        <f t="shared" si="4"/>
        <v>102</v>
      </c>
      <c r="C75" t="str">
        <f t="shared" si="3"/>
        <v>3</v>
      </c>
      <c r="D75" t="str">
        <f>"10"</f>
        <v>10</v>
      </c>
      <c r="E75" t="str">
        <f>"102-3-10"</f>
        <v>102-3-10</v>
      </c>
      <c r="F75" t="s">
        <v>18</v>
      </c>
      <c r="G75" t="s">
        <v>20</v>
      </c>
      <c r="H75">
        <v>1</v>
      </c>
      <c r="K75">
        <v>1</v>
      </c>
      <c r="L75">
        <v>0</v>
      </c>
      <c r="M75">
        <v>1</v>
      </c>
      <c r="N75">
        <v>0</v>
      </c>
    </row>
    <row r="76" spans="1:16" x14ac:dyDescent="0.25">
      <c r="A76" t="str">
        <f>"72"</f>
        <v>72</v>
      </c>
      <c r="B76" t="str">
        <f t="shared" si="4"/>
        <v>102</v>
      </c>
      <c r="C76" t="str">
        <f t="shared" si="3"/>
        <v>3</v>
      </c>
      <c r="D76" t="str">
        <f>"19"</f>
        <v>19</v>
      </c>
      <c r="E76" t="str">
        <f>"102-3-19"</f>
        <v>102-3-19</v>
      </c>
      <c r="F76" t="s">
        <v>18</v>
      </c>
      <c r="G76" t="s">
        <v>20</v>
      </c>
      <c r="H76">
        <v>1</v>
      </c>
      <c r="K76">
        <v>0</v>
      </c>
      <c r="L76">
        <v>1</v>
      </c>
      <c r="M76">
        <v>0</v>
      </c>
      <c r="N76">
        <v>1</v>
      </c>
    </row>
    <row r="77" spans="1:16" x14ac:dyDescent="0.25">
      <c r="A77" t="str">
        <f>"73"</f>
        <v>73</v>
      </c>
      <c r="B77" t="str">
        <f t="shared" si="4"/>
        <v>102</v>
      </c>
      <c r="C77" t="str">
        <f t="shared" si="3"/>
        <v>3</v>
      </c>
      <c r="D77" t="str">
        <f>"9"</f>
        <v>9</v>
      </c>
      <c r="E77" t="str">
        <f>"102-3-9"</f>
        <v>102-3-9</v>
      </c>
      <c r="F77" t="s">
        <v>18</v>
      </c>
      <c r="G77" t="s">
        <v>20</v>
      </c>
      <c r="H77">
        <v>1</v>
      </c>
      <c r="K77">
        <v>1</v>
      </c>
      <c r="L77">
        <v>0</v>
      </c>
      <c r="M77">
        <v>0</v>
      </c>
      <c r="N77">
        <v>1</v>
      </c>
    </row>
    <row r="78" spans="1:16" x14ac:dyDescent="0.25">
      <c r="A78" t="str">
        <f>"74"</f>
        <v>74</v>
      </c>
      <c r="B78" t="str">
        <f t="shared" si="4"/>
        <v>102</v>
      </c>
      <c r="C78" t="str">
        <f t="shared" si="3"/>
        <v>3</v>
      </c>
      <c r="D78" t="str">
        <f>"21"</f>
        <v>21</v>
      </c>
      <c r="E78" t="str">
        <f>"102-3-21"</f>
        <v>102-3-21</v>
      </c>
      <c r="F78" t="s">
        <v>18</v>
      </c>
      <c r="G78" t="s">
        <v>20</v>
      </c>
      <c r="H78">
        <v>1</v>
      </c>
      <c r="K78">
        <v>0</v>
      </c>
      <c r="L78">
        <v>1</v>
      </c>
      <c r="M78">
        <v>0</v>
      </c>
      <c r="N78">
        <v>1</v>
      </c>
    </row>
    <row r="79" spans="1:16" x14ac:dyDescent="0.25">
      <c r="A79" t="str">
        <f>"75"</f>
        <v>75</v>
      </c>
      <c r="B79" t="str">
        <f t="shared" si="4"/>
        <v>102</v>
      </c>
      <c r="C79" t="str">
        <f t="shared" si="3"/>
        <v>3</v>
      </c>
      <c r="D79" t="str">
        <f>"7"</f>
        <v>7</v>
      </c>
      <c r="E79" t="str">
        <f>"102-3-7"</f>
        <v>102-3-7</v>
      </c>
      <c r="F79" t="s">
        <v>18</v>
      </c>
      <c r="G79" t="s">
        <v>20</v>
      </c>
      <c r="H79">
        <v>1</v>
      </c>
      <c r="K79">
        <v>0</v>
      </c>
      <c r="L79">
        <v>1</v>
      </c>
      <c r="M79">
        <v>0</v>
      </c>
      <c r="N79">
        <v>1</v>
      </c>
    </row>
    <row r="80" spans="1:16" x14ac:dyDescent="0.25">
      <c r="A80" t="str">
        <f>"76"</f>
        <v>76</v>
      </c>
      <c r="B80" t="str">
        <f t="shared" si="4"/>
        <v>102</v>
      </c>
      <c r="C80" t="str">
        <f t="shared" ref="C80:C104" si="5">"4"</f>
        <v>4</v>
      </c>
      <c r="D80" t="str">
        <f>"21"</f>
        <v>21</v>
      </c>
      <c r="E80" t="str">
        <f>"102-4-21"</f>
        <v>102-4-21</v>
      </c>
      <c r="F80" t="s">
        <v>18</v>
      </c>
      <c r="G80" t="s">
        <v>19</v>
      </c>
      <c r="H80">
        <v>2</v>
      </c>
      <c r="I80">
        <v>1</v>
      </c>
      <c r="J80">
        <v>1</v>
      </c>
      <c r="K80">
        <v>1</v>
      </c>
      <c r="L80">
        <v>0</v>
      </c>
      <c r="M80">
        <v>1</v>
      </c>
      <c r="N80">
        <v>0</v>
      </c>
      <c r="O80">
        <v>1</v>
      </c>
      <c r="P80">
        <v>0</v>
      </c>
    </row>
    <row r="81" spans="1:16" x14ac:dyDescent="0.25">
      <c r="A81" t="str">
        <f>"77"</f>
        <v>77</v>
      </c>
      <c r="B81" t="str">
        <f t="shared" si="4"/>
        <v>102</v>
      </c>
      <c r="C81" t="str">
        <f t="shared" si="5"/>
        <v>4</v>
      </c>
      <c r="D81" t="str">
        <f>"11"</f>
        <v>11</v>
      </c>
      <c r="E81" t="str">
        <f>"102-4-11"</f>
        <v>102-4-11</v>
      </c>
      <c r="F81" t="s">
        <v>18</v>
      </c>
      <c r="G81" t="s">
        <v>19</v>
      </c>
      <c r="H81">
        <v>2</v>
      </c>
      <c r="I81">
        <v>1</v>
      </c>
      <c r="J81">
        <v>1</v>
      </c>
      <c r="K81">
        <v>0</v>
      </c>
      <c r="L81">
        <v>1</v>
      </c>
      <c r="M81">
        <v>0</v>
      </c>
      <c r="N81">
        <v>1</v>
      </c>
      <c r="O81">
        <v>0</v>
      </c>
      <c r="P81">
        <v>1</v>
      </c>
    </row>
    <row r="82" spans="1:16" x14ac:dyDescent="0.25">
      <c r="A82" t="str">
        <f>"78"</f>
        <v>78</v>
      </c>
      <c r="B82" t="str">
        <f t="shared" si="4"/>
        <v>102</v>
      </c>
      <c r="C82" t="str">
        <f t="shared" si="5"/>
        <v>4</v>
      </c>
      <c r="D82" t="str">
        <f>"1"</f>
        <v>1</v>
      </c>
      <c r="E82" t="str">
        <f>"102-4-1"</f>
        <v>102-4-1</v>
      </c>
      <c r="F82" t="s">
        <v>18</v>
      </c>
      <c r="G82" t="s">
        <v>20</v>
      </c>
      <c r="H82">
        <v>1</v>
      </c>
      <c r="K82">
        <v>0</v>
      </c>
      <c r="L82">
        <v>1</v>
      </c>
      <c r="M82">
        <v>0</v>
      </c>
      <c r="N82">
        <v>1</v>
      </c>
    </row>
    <row r="83" spans="1:16" x14ac:dyDescent="0.25">
      <c r="A83" t="str">
        <f>"79"</f>
        <v>79</v>
      </c>
      <c r="B83" t="str">
        <f t="shared" si="4"/>
        <v>102</v>
      </c>
      <c r="C83" t="str">
        <f t="shared" si="5"/>
        <v>4</v>
      </c>
      <c r="D83" t="str">
        <f>"22"</f>
        <v>22</v>
      </c>
      <c r="E83" t="str">
        <f>"102-4-22"</f>
        <v>102-4-22</v>
      </c>
      <c r="F83" t="s">
        <v>18</v>
      </c>
      <c r="G83" t="s">
        <v>19</v>
      </c>
      <c r="H83">
        <v>2</v>
      </c>
      <c r="I83">
        <v>1</v>
      </c>
      <c r="J83">
        <v>1</v>
      </c>
      <c r="K83">
        <v>1</v>
      </c>
      <c r="L83">
        <v>0</v>
      </c>
      <c r="M83">
        <v>1</v>
      </c>
      <c r="N83">
        <v>0</v>
      </c>
      <c r="O83">
        <v>1</v>
      </c>
      <c r="P83">
        <v>0</v>
      </c>
    </row>
    <row r="84" spans="1:16" x14ac:dyDescent="0.25">
      <c r="A84" t="str">
        <f>"80"</f>
        <v>80</v>
      </c>
      <c r="B84" t="str">
        <f t="shared" si="4"/>
        <v>102</v>
      </c>
      <c r="C84" t="str">
        <f t="shared" si="5"/>
        <v>4</v>
      </c>
      <c r="D84" t="str">
        <f>"12"</f>
        <v>12</v>
      </c>
      <c r="E84" t="str">
        <f>"102-4-12"</f>
        <v>102-4-12</v>
      </c>
      <c r="F84" t="s">
        <v>18</v>
      </c>
      <c r="G84" t="s">
        <v>19</v>
      </c>
      <c r="H84">
        <v>2</v>
      </c>
      <c r="I84">
        <v>1</v>
      </c>
      <c r="J84">
        <v>1</v>
      </c>
      <c r="K84">
        <v>1</v>
      </c>
      <c r="L84">
        <v>0</v>
      </c>
      <c r="M84">
        <v>1</v>
      </c>
      <c r="N84">
        <v>0</v>
      </c>
      <c r="O84">
        <v>1</v>
      </c>
      <c r="P84">
        <v>0</v>
      </c>
    </row>
    <row r="85" spans="1:16" x14ac:dyDescent="0.25">
      <c r="A85" t="str">
        <f>"81"</f>
        <v>81</v>
      </c>
      <c r="B85" t="str">
        <f t="shared" si="4"/>
        <v>102</v>
      </c>
      <c r="C85" t="str">
        <f t="shared" si="5"/>
        <v>4</v>
      </c>
      <c r="D85" t="str">
        <f>"3"</f>
        <v>3</v>
      </c>
      <c r="E85" t="str">
        <f>"102-4-3"</f>
        <v>102-4-3</v>
      </c>
      <c r="F85" t="s">
        <v>18</v>
      </c>
      <c r="G85" t="s">
        <v>20</v>
      </c>
      <c r="H85">
        <v>1</v>
      </c>
      <c r="K85">
        <v>0</v>
      </c>
      <c r="L85">
        <v>1</v>
      </c>
      <c r="M85">
        <v>0</v>
      </c>
      <c r="N85">
        <v>1</v>
      </c>
    </row>
    <row r="86" spans="1:16" x14ac:dyDescent="0.25">
      <c r="A86" t="str">
        <f>"82"</f>
        <v>82</v>
      </c>
      <c r="B86" t="str">
        <f t="shared" si="4"/>
        <v>102</v>
      </c>
      <c r="C86" t="str">
        <f t="shared" si="5"/>
        <v>4</v>
      </c>
      <c r="D86" t="str">
        <f>"23"</f>
        <v>23</v>
      </c>
      <c r="E86" t="str">
        <f>"102-4-23"</f>
        <v>102-4-23</v>
      </c>
      <c r="F86" t="s">
        <v>18</v>
      </c>
      <c r="G86" t="s">
        <v>19</v>
      </c>
      <c r="H86">
        <v>2</v>
      </c>
      <c r="I86">
        <v>1</v>
      </c>
      <c r="J86">
        <v>1</v>
      </c>
      <c r="K86">
        <v>1</v>
      </c>
      <c r="L86">
        <v>0</v>
      </c>
      <c r="M86">
        <v>1</v>
      </c>
      <c r="N86">
        <v>0</v>
      </c>
      <c r="O86">
        <v>1</v>
      </c>
      <c r="P86">
        <v>0</v>
      </c>
    </row>
    <row r="87" spans="1:16" x14ac:dyDescent="0.25">
      <c r="A87" t="str">
        <f>"83"</f>
        <v>83</v>
      </c>
      <c r="B87" t="str">
        <f t="shared" si="4"/>
        <v>102</v>
      </c>
      <c r="C87" t="str">
        <f t="shared" si="5"/>
        <v>4</v>
      </c>
      <c r="D87" t="str">
        <f>"13"</f>
        <v>13</v>
      </c>
      <c r="E87" t="str">
        <f>"102-4-13"</f>
        <v>102-4-13</v>
      </c>
      <c r="F87" t="s">
        <v>18</v>
      </c>
      <c r="G87" t="s">
        <v>19</v>
      </c>
      <c r="H87">
        <v>2</v>
      </c>
      <c r="I87">
        <v>1</v>
      </c>
      <c r="J87">
        <v>1</v>
      </c>
      <c r="K87">
        <v>1</v>
      </c>
      <c r="L87">
        <v>0</v>
      </c>
      <c r="M87">
        <v>1</v>
      </c>
      <c r="N87">
        <v>0</v>
      </c>
      <c r="O87">
        <v>1</v>
      </c>
      <c r="P87">
        <v>0</v>
      </c>
    </row>
    <row r="88" spans="1:16" x14ac:dyDescent="0.25">
      <c r="A88" t="str">
        <f>"84"</f>
        <v>84</v>
      </c>
      <c r="B88" t="str">
        <f t="shared" si="4"/>
        <v>102</v>
      </c>
      <c r="C88" t="str">
        <f t="shared" si="5"/>
        <v>4</v>
      </c>
      <c r="D88" t="str">
        <f>"2"</f>
        <v>2</v>
      </c>
      <c r="E88" t="str">
        <f>"102-4-2"</f>
        <v>102-4-2</v>
      </c>
      <c r="F88" t="s">
        <v>18</v>
      </c>
      <c r="G88" t="s">
        <v>20</v>
      </c>
      <c r="H88">
        <v>1</v>
      </c>
      <c r="K88">
        <v>0</v>
      </c>
      <c r="L88">
        <v>1</v>
      </c>
      <c r="M88">
        <v>0</v>
      </c>
      <c r="N88">
        <v>1</v>
      </c>
    </row>
    <row r="89" spans="1:16" x14ac:dyDescent="0.25">
      <c r="A89" t="str">
        <f>"85"</f>
        <v>85</v>
      </c>
      <c r="B89" t="str">
        <f t="shared" si="4"/>
        <v>102</v>
      </c>
      <c r="C89" t="str">
        <f t="shared" si="5"/>
        <v>4</v>
      </c>
      <c r="D89" t="str">
        <f>"24"</f>
        <v>24</v>
      </c>
      <c r="E89" t="str">
        <f>"102-4-24"</f>
        <v>102-4-24</v>
      </c>
      <c r="F89" t="s">
        <v>18</v>
      </c>
      <c r="G89" t="s">
        <v>19</v>
      </c>
      <c r="H89">
        <v>2</v>
      </c>
      <c r="I89">
        <v>1</v>
      </c>
      <c r="J89">
        <v>1</v>
      </c>
      <c r="K89">
        <v>0</v>
      </c>
      <c r="L89">
        <v>1</v>
      </c>
      <c r="M89">
        <v>0</v>
      </c>
      <c r="N89">
        <v>1</v>
      </c>
      <c r="O89">
        <v>1</v>
      </c>
      <c r="P89">
        <v>0</v>
      </c>
    </row>
    <row r="90" spans="1:16" x14ac:dyDescent="0.25">
      <c r="A90" t="str">
        <f>"86"</f>
        <v>86</v>
      </c>
      <c r="B90" t="str">
        <f t="shared" si="4"/>
        <v>102</v>
      </c>
      <c r="C90" t="str">
        <f t="shared" si="5"/>
        <v>4</v>
      </c>
      <c r="D90" t="str">
        <f>"14"</f>
        <v>14</v>
      </c>
      <c r="E90" t="str">
        <f>"102-4-14"</f>
        <v>102-4-14</v>
      </c>
      <c r="F90" t="s">
        <v>18</v>
      </c>
      <c r="G90" t="s">
        <v>19</v>
      </c>
      <c r="H90">
        <v>2</v>
      </c>
      <c r="I90">
        <v>1</v>
      </c>
      <c r="J90">
        <v>1</v>
      </c>
      <c r="K90">
        <v>0</v>
      </c>
      <c r="L90">
        <v>1</v>
      </c>
      <c r="M90">
        <v>0</v>
      </c>
      <c r="N90">
        <v>1</v>
      </c>
      <c r="O90">
        <v>0</v>
      </c>
      <c r="P90">
        <v>1</v>
      </c>
    </row>
    <row r="91" spans="1:16" x14ac:dyDescent="0.25">
      <c r="A91" t="str">
        <f>"87"</f>
        <v>87</v>
      </c>
      <c r="B91" t="str">
        <f t="shared" si="4"/>
        <v>102</v>
      </c>
      <c r="C91" t="str">
        <f t="shared" si="5"/>
        <v>4</v>
      </c>
      <c r="D91" t="str">
        <f>"6"</f>
        <v>6</v>
      </c>
      <c r="E91" t="str">
        <f>"102-4-6"</f>
        <v>102-4-6</v>
      </c>
      <c r="F91" t="s">
        <v>18</v>
      </c>
      <c r="G91" t="s">
        <v>20</v>
      </c>
      <c r="H91">
        <v>1</v>
      </c>
      <c r="K91">
        <v>0</v>
      </c>
      <c r="L91">
        <v>1</v>
      </c>
      <c r="M91">
        <v>0</v>
      </c>
      <c r="N91">
        <v>1</v>
      </c>
    </row>
    <row r="92" spans="1:16" x14ac:dyDescent="0.25">
      <c r="A92" t="str">
        <f>"88"</f>
        <v>88</v>
      </c>
      <c r="B92" t="str">
        <f t="shared" si="4"/>
        <v>102</v>
      </c>
      <c r="C92" t="str">
        <f t="shared" si="5"/>
        <v>4</v>
      </c>
      <c r="D92" t="str">
        <f>"15"</f>
        <v>15</v>
      </c>
      <c r="E92" t="str">
        <f>"102-4-15"</f>
        <v>102-4-15</v>
      </c>
      <c r="F92" t="s">
        <v>18</v>
      </c>
      <c r="G92" t="s">
        <v>19</v>
      </c>
      <c r="H92">
        <v>2</v>
      </c>
      <c r="I92">
        <v>1</v>
      </c>
      <c r="J92">
        <v>1</v>
      </c>
      <c r="K92">
        <v>0</v>
      </c>
      <c r="L92">
        <v>1</v>
      </c>
      <c r="M92">
        <v>0</v>
      </c>
      <c r="N92">
        <v>1</v>
      </c>
      <c r="O92">
        <v>1</v>
      </c>
      <c r="P92">
        <v>0</v>
      </c>
    </row>
    <row r="93" spans="1:16" x14ac:dyDescent="0.25">
      <c r="A93" t="str">
        <f>"89"</f>
        <v>89</v>
      </c>
      <c r="B93" t="str">
        <f t="shared" si="4"/>
        <v>102</v>
      </c>
      <c r="C93" t="str">
        <f t="shared" si="5"/>
        <v>4</v>
      </c>
      <c r="D93" t="str">
        <f>"5"</f>
        <v>5</v>
      </c>
      <c r="E93" t="str">
        <f>"102-4-5"</f>
        <v>102-4-5</v>
      </c>
      <c r="F93" t="s">
        <v>18</v>
      </c>
      <c r="G93" t="s">
        <v>20</v>
      </c>
      <c r="H93">
        <v>1</v>
      </c>
      <c r="K93">
        <v>0</v>
      </c>
      <c r="L93">
        <v>1</v>
      </c>
      <c r="M93">
        <v>0</v>
      </c>
      <c r="N93">
        <v>1</v>
      </c>
    </row>
    <row r="94" spans="1:16" x14ac:dyDescent="0.25">
      <c r="A94" t="str">
        <f>"90"</f>
        <v>90</v>
      </c>
      <c r="B94" t="str">
        <f t="shared" si="4"/>
        <v>102</v>
      </c>
      <c r="C94" t="str">
        <f t="shared" si="5"/>
        <v>4</v>
      </c>
      <c r="D94" t="str">
        <f>"25"</f>
        <v>25</v>
      </c>
      <c r="E94" t="str">
        <f>"102-4-25"</f>
        <v>102-4-25</v>
      </c>
      <c r="F94" t="s">
        <v>18</v>
      </c>
      <c r="G94" t="s">
        <v>20</v>
      </c>
      <c r="H94">
        <v>1</v>
      </c>
      <c r="K94">
        <v>1</v>
      </c>
      <c r="L94">
        <v>0</v>
      </c>
      <c r="M94">
        <v>1</v>
      </c>
      <c r="N94">
        <v>0</v>
      </c>
    </row>
    <row r="95" spans="1:16" x14ac:dyDescent="0.25">
      <c r="A95" t="str">
        <f>"91"</f>
        <v>91</v>
      </c>
      <c r="B95" t="str">
        <f t="shared" si="4"/>
        <v>102</v>
      </c>
      <c r="C95" t="str">
        <f t="shared" si="5"/>
        <v>4</v>
      </c>
      <c r="D95" t="str">
        <f>"16"</f>
        <v>16</v>
      </c>
      <c r="E95" t="str">
        <f>"102-4-16"</f>
        <v>102-4-16</v>
      </c>
      <c r="F95" t="s">
        <v>18</v>
      </c>
      <c r="G95" t="s">
        <v>19</v>
      </c>
      <c r="H95">
        <v>2</v>
      </c>
      <c r="I95">
        <v>0</v>
      </c>
      <c r="J95">
        <v>1</v>
      </c>
      <c r="K95">
        <v>1</v>
      </c>
      <c r="L95">
        <v>0</v>
      </c>
      <c r="M95">
        <v>1</v>
      </c>
      <c r="N95">
        <v>0</v>
      </c>
      <c r="O95">
        <v>1</v>
      </c>
      <c r="P95">
        <v>0</v>
      </c>
    </row>
    <row r="96" spans="1:16" x14ac:dyDescent="0.25">
      <c r="A96" t="str">
        <f>"92"</f>
        <v>92</v>
      </c>
      <c r="B96" t="str">
        <f t="shared" si="4"/>
        <v>102</v>
      </c>
      <c r="C96" t="str">
        <f t="shared" si="5"/>
        <v>4</v>
      </c>
      <c r="D96" t="str">
        <f>"4"</f>
        <v>4</v>
      </c>
      <c r="E96" t="str">
        <f>"102-4-4"</f>
        <v>102-4-4</v>
      </c>
      <c r="F96" t="s">
        <v>18</v>
      </c>
      <c r="G96" t="s">
        <v>20</v>
      </c>
      <c r="H96">
        <v>1</v>
      </c>
      <c r="K96">
        <v>0</v>
      </c>
      <c r="L96">
        <v>1</v>
      </c>
      <c r="M96">
        <v>0</v>
      </c>
      <c r="N96">
        <v>1</v>
      </c>
    </row>
    <row r="97" spans="1:16" x14ac:dyDescent="0.25">
      <c r="A97" t="str">
        <f>"93"</f>
        <v>93</v>
      </c>
      <c r="B97" t="str">
        <f t="shared" si="4"/>
        <v>102</v>
      </c>
      <c r="C97" t="str">
        <f t="shared" si="5"/>
        <v>4</v>
      </c>
      <c r="D97" t="str">
        <f>"17"</f>
        <v>17</v>
      </c>
      <c r="E97" t="str">
        <f>"102-4-17"</f>
        <v>102-4-17</v>
      </c>
      <c r="F97" t="s">
        <v>18</v>
      </c>
      <c r="G97" t="s">
        <v>19</v>
      </c>
      <c r="H97">
        <v>2</v>
      </c>
      <c r="I97">
        <v>1</v>
      </c>
      <c r="J97">
        <v>1</v>
      </c>
      <c r="K97">
        <v>1</v>
      </c>
      <c r="L97">
        <v>0</v>
      </c>
      <c r="M97">
        <v>0</v>
      </c>
      <c r="N97">
        <v>0</v>
      </c>
      <c r="O97">
        <v>1</v>
      </c>
      <c r="P97">
        <v>0</v>
      </c>
    </row>
    <row r="98" spans="1:16" x14ac:dyDescent="0.25">
      <c r="A98" t="str">
        <f>"94"</f>
        <v>94</v>
      </c>
      <c r="B98" t="str">
        <f t="shared" si="4"/>
        <v>102</v>
      </c>
      <c r="C98" t="str">
        <f t="shared" si="5"/>
        <v>4</v>
      </c>
      <c r="D98" t="str">
        <f>"7"</f>
        <v>7</v>
      </c>
      <c r="E98" t="str">
        <f>"102-4-7"</f>
        <v>102-4-7</v>
      </c>
      <c r="F98" t="s">
        <v>18</v>
      </c>
      <c r="G98" t="s">
        <v>19</v>
      </c>
      <c r="H98">
        <v>2</v>
      </c>
      <c r="I98">
        <v>0</v>
      </c>
      <c r="J98">
        <v>1</v>
      </c>
      <c r="K98">
        <v>0</v>
      </c>
      <c r="L98">
        <v>1</v>
      </c>
      <c r="M98">
        <v>0</v>
      </c>
      <c r="N98">
        <v>1</v>
      </c>
      <c r="O98">
        <v>0</v>
      </c>
      <c r="P98">
        <v>1</v>
      </c>
    </row>
    <row r="99" spans="1:16" x14ac:dyDescent="0.25">
      <c r="A99" t="str">
        <f>"95"</f>
        <v>95</v>
      </c>
      <c r="B99" t="str">
        <f t="shared" si="4"/>
        <v>102</v>
      </c>
      <c r="C99" t="str">
        <f t="shared" si="5"/>
        <v>4</v>
      </c>
      <c r="D99" t="str">
        <f>"18"</f>
        <v>18</v>
      </c>
      <c r="E99" t="str">
        <f>"102-4-18"</f>
        <v>102-4-18</v>
      </c>
      <c r="F99" t="s">
        <v>18</v>
      </c>
      <c r="G99" t="s">
        <v>19</v>
      </c>
      <c r="H99">
        <v>2</v>
      </c>
      <c r="I99">
        <v>1</v>
      </c>
      <c r="J99">
        <v>1</v>
      </c>
      <c r="K99">
        <v>1</v>
      </c>
      <c r="L99">
        <v>0</v>
      </c>
      <c r="M99">
        <v>1</v>
      </c>
      <c r="N99">
        <v>0</v>
      </c>
      <c r="O99">
        <v>1</v>
      </c>
      <c r="P99">
        <v>0</v>
      </c>
    </row>
    <row r="100" spans="1:16" x14ac:dyDescent="0.25">
      <c r="A100" t="str">
        <f>"96"</f>
        <v>96</v>
      </c>
      <c r="B100" t="str">
        <f t="shared" si="4"/>
        <v>102</v>
      </c>
      <c r="C100" t="str">
        <f t="shared" si="5"/>
        <v>4</v>
      </c>
      <c r="D100" t="str">
        <f>"8"</f>
        <v>8</v>
      </c>
      <c r="E100" t="str">
        <f>"102-4-8"</f>
        <v>102-4-8</v>
      </c>
      <c r="F100" t="s">
        <v>18</v>
      </c>
      <c r="G100" t="s">
        <v>19</v>
      </c>
      <c r="H100">
        <v>2</v>
      </c>
      <c r="I100">
        <v>1</v>
      </c>
      <c r="J100">
        <v>1</v>
      </c>
      <c r="K100">
        <v>0</v>
      </c>
      <c r="L100">
        <v>1</v>
      </c>
      <c r="M100">
        <v>0</v>
      </c>
      <c r="N100">
        <v>1</v>
      </c>
      <c r="O100">
        <v>1</v>
      </c>
      <c r="P100">
        <v>0</v>
      </c>
    </row>
    <row r="101" spans="1:16" x14ac:dyDescent="0.25">
      <c r="A101" t="str">
        <f>"97"</f>
        <v>97</v>
      </c>
      <c r="B101" t="str">
        <f t="shared" si="4"/>
        <v>102</v>
      </c>
      <c r="C101" t="str">
        <f t="shared" si="5"/>
        <v>4</v>
      </c>
      <c r="D101" t="str">
        <f>"19"</f>
        <v>19</v>
      </c>
      <c r="E101" t="str">
        <f>"102-4-19"</f>
        <v>102-4-19</v>
      </c>
      <c r="F101" t="s">
        <v>18</v>
      </c>
      <c r="G101" t="s">
        <v>19</v>
      </c>
      <c r="H101">
        <v>2</v>
      </c>
      <c r="I101">
        <v>1</v>
      </c>
      <c r="J101">
        <v>1</v>
      </c>
      <c r="K101">
        <v>0</v>
      </c>
      <c r="L101">
        <v>1</v>
      </c>
      <c r="M101">
        <v>1</v>
      </c>
      <c r="N101">
        <v>0</v>
      </c>
      <c r="O101">
        <v>1</v>
      </c>
      <c r="P101">
        <v>0</v>
      </c>
    </row>
    <row r="102" spans="1:16" x14ac:dyDescent="0.25">
      <c r="A102" t="str">
        <f>"98"</f>
        <v>98</v>
      </c>
      <c r="B102" t="str">
        <f t="shared" si="4"/>
        <v>102</v>
      </c>
      <c r="C102" t="str">
        <f t="shared" si="5"/>
        <v>4</v>
      </c>
      <c r="D102" t="str">
        <f>"10"</f>
        <v>10</v>
      </c>
      <c r="E102" t="str">
        <f>"102-4-10"</f>
        <v>102-4-10</v>
      </c>
      <c r="F102" t="s">
        <v>18</v>
      </c>
      <c r="G102" t="s">
        <v>19</v>
      </c>
      <c r="H102">
        <v>2</v>
      </c>
      <c r="I102">
        <v>1</v>
      </c>
      <c r="J102">
        <v>1</v>
      </c>
      <c r="K102">
        <v>0</v>
      </c>
      <c r="L102">
        <v>1</v>
      </c>
      <c r="M102">
        <v>0</v>
      </c>
      <c r="N102">
        <v>1</v>
      </c>
      <c r="O102">
        <v>0</v>
      </c>
      <c r="P102">
        <v>1</v>
      </c>
    </row>
    <row r="103" spans="1:16" x14ac:dyDescent="0.25">
      <c r="A103" t="str">
        <f>"99"</f>
        <v>99</v>
      </c>
      <c r="B103" t="str">
        <f t="shared" si="4"/>
        <v>102</v>
      </c>
      <c r="C103" t="str">
        <f t="shared" si="5"/>
        <v>4</v>
      </c>
      <c r="D103" t="str">
        <f>"20"</f>
        <v>20</v>
      </c>
      <c r="E103" t="str">
        <f>"102-4-20"</f>
        <v>102-4-20</v>
      </c>
      <c r="F103" t="s">
        <v>18</v>
      </c>
      <c r="G103" t="s">
        <v>19</v>
      </c>
      <c r="H103">
        <v>2</v>
      </c>
      <c r="I103">
        <v>1</v>
      </c>
      <c r="J103">
        <v>1</v>
      </c>
      <c r="K103">
        <v>1</v>
      </c>
      <c r="L103">
        <v>0</v>
      </c>
      <c r="M103">
        <v>0</v>
      </c>
      <c r="N103">
        <v>1</v>
      </c>
      <c r="O103">
        <v>1</v>
      </c>
      <c r="P103">
        <v>0</v>
      </c>
    </row>
    <row r="104" spans="1:16" x14ac:dyDescent="0.25">
      <c r="A104" t="str">
        <f>"100"</f>
        <v>100</v>
      </c>
      <c r="B104" t="str">
        <f t="shared" si="4"/>
        <v>102</v>
      </c>
      <c r="C104" t="str">
        <f t="shared" si="5"/>
        <v>4</v>
      </c>
      <c r="D104" t="str">
        <f>"9"</f>
        <v>9</v>
      </c>
      <c r="E104" t="str">
        <f>"102-4-9"</f>
        <v>102-4-9</v>
      </c>
      <c r="F104" t="s">
        <v>18</v>
      </c>
      <c r="G104" t="s">
        <v>19</v>
      </c>
      <c r="H104">
        <v>2</v>
      </c>
      <c r="I104">
        <v>1</v>
      </c>
      <c r="J104">
        <v>1</v>
      </c>
      <c r="K104">
        <v>0</v>
      </c>
      <c r="L104">
        <v>1</v>
      </c>
      <c r="M104">
        <v>0</v>
      </c>
      <c r="N104">
        <v>1</v>
      </c>
      <c r="O104">
        <v>1</v>
      </c>
      <c r="P104">
        <v>0</v>
      </c>
    </row>
    <row r="105" spans="1:16" x14ac:dyDescent="0.25">
      <c r="A105" t="str">
        <f>"101"</f>
        <v>101</v>
      </c>
      <c r="B105" t="str">
        <f t="shared" si="4"/>
        <v>102</v>
      </c>
      <c r="C105" t="str">
        <f t="shared" ref="C105:C129" si="6">"5"</f>
        <v>5</v>
      </c>
      <c r="D105" t="str">
        <f>"20"</f>
        <v>20</v>
      </c>
      <c r="E105" t="str">
        <f>"102-5-20"</f>
        <v>102-5-20</v>
      </c>
      <c r="F105" t="s">
        <v>18</v>
      </c>
      <c r="G105" t="s">
        <v>19</v>
      </c>
      <c r="H105">
        <v>2</v>
      </c>
      <c r="I105">
        <v>0</v>
      </c>
      <c r="J105">
        <v>0</v>
      </c>
      <c r="K105">
        <v>1</v>
      </c>
      <c r="L105">
        <v>0</v>
      </c>
      <c r="M105">
        <v>1</v>
      </c>
      <c r="N105">
        <v>0</v>
      </c>
      <c r="O105">
        <v>1</v>
      </c>
      <c r="P105">
        <v>0</v>
      </c>
    </row>
    <row r="106" spans="1:16" x14ac:dyDescent="0.25">
      <c r="A106" t="str">
        <f>"102"</f>
        <v>102</v>
      </c>
      <c r="B106" t="str">
        <f t="shared" si="4"/>
        <v>102</v>
      </c>
      <c r="C106" t="str">
        <f t="shared" si="6"/>
        <v>5</v>
      </c>
      <c r="D106" t="str">
        <f>"11"</f>
        <v>11</v>
      </c>
      <c r="E106" t="str">
        <f>"102-5-11"</f>
        <v>102-5-11</v>
      </c>
      <c r="F106" t="s">
        <v>18</v>
      </c>
      <c r="G106" t="s">
        <v>20</v>
      </c>
      <c r="H106">
        <v>1</v>
      </c>
      <c r="K106">
        <v>0</v>
      </c>
      <c r="L106">
        <v>1</v>
      </c>
      <c r="M106">
        <v>0</v>
      </c>
      <c r="N106">
        <v>1</v>
      </c>
    </row>
    <row r="107" spans="1:16" x14ac:dyDescent="0.25">
      <c r="A107" t="str">
        <f>"103"</f>
        <v>103</v>
      </c>
      <c r="B107" t="str">
        <f t="shared" si="4"/>
        <v>102</v>
      </c>
      <c r="C107" t="str">
        <f t="shared" si="6"/>
        <v>5</v>
      </c>
      <c r="D107" t="str">
        <f>"7"</f>
        <v>7</v>
      </c>
      <c r="E107" t="str">
        <f>"102-5-7"</f>
        <v>102-5-7</v>
      </c>
      <c r="F107" t="s">
        <v>18</v>
      </c>
      <c r="G107" t="s">
        <v>20</v>
      </c>
      <c r="H107">
        <v>1</v>
      </c>
      <c r="K107">
        <v>1</v>
      </c>
      <c r="L107">
        <v>0</v>
      </c>
      <c r="M107">
        <v>0</v>
      </c>
      <c r="N107">
        <v>1</v>
      </c>
    </row>
    <row r="108" spans="1:16" x14ac:dyDescent="0.25">
      <c r="A108" t="str">
        <f>"104"</f>
        <v>104</v>
      </c>
      <c r="B108" t="str">
        <f t="shared" si="4"/>
        <v>102</v>
      </c>
      <c r="C108" t="str">
        <f t="shared" si="6"/>
        <v>5</v>
      </c>
      <c r="D108" t="str">
        <f>"23"</f>
        <v>23</v>
      </c>
      <c r="E108" t="str">
        <f>"102-5-23"</f>
        <v>102-5-23</v>
      </c>
      <c r="F108" t="s">
        <v>18</v>
      </c>
      <c r="G108" t="s">
        <v>19</v>
      </c>
      <c r="H108">
        <v>2</v>
      </c>
      <c r="I108">
        <v>1</v>
      </c>
      <c r="J108">
        <v>1</v>
      </c>
      <c r="K108">
        <v>1</v>
      </c>
      <c r="L108">
        <v>0</v>
      </c>
      <c r="M108">
        <v>0</v>
      </c>
      <c r="N108">
        <v>1</v>
      </c>
      <c r="O108">
        <v>1</v>
      </c>
      <c r="P108">
        <v>0</v>
      </c>
    </row>
    <row r="109" spans="1:16" x14ac:dyDescent="0.25">
      <c r="A109" t="str">
        <f>"105"</f>
        <v>105</v>
      </c>
      <c r="B109" t="str">
        <f t="shared" si="4"/>
        <v>102</v>
      </c>
      <c r="C109" t="str">
        <f t="shared" si="6"/>
        <v>5</v>
      </c>
      <c r="D109" t="str">
        <f>"12"</f>
        <v>12</v>
      </c>
      <c r="E109" t="str">
        <f>"102-5-12"</f>
        <v>102-5-12</v>
      </c>
      <c r="F109" t="s">
        <v>18</v>
      </c>
      <c r="G109" t="s">
        <v>20</v>
      </c>
      <c r="H109">
        <v>1</v>
      </c>
      <c r="K109">
        <v>0</v>
      </c>
      <c r="L109">
        <v>1</v>
      </c>
      <c r="M109">
        <v>0</v>
      </c>
      <c r="N109">
        <v>1</v>
      </c>
    </row>
    <row r="110" spans="1:16" x14ac:dyDescent="0.25">
      <c r="A110" t="str">
        <f>"106"</f>
        <v>106</v>
      </c>
      <c r="B110" t="str">
        <f t="shared" si="4"/>
        <v>102</v>
      </c>
      <c r="C110" t="str">
        <f t="shared" si="6"/>
        <v>5</v>
      </c>
      <c r="D110" t="str">
        <f>"2"</f>
        <v>2</v>
      </c>
      <c r="E110" t="str">
        <f>"102-5-2"</f>
        <v>102-5-2</v>
      </c>
      <c r="F110" t="s">
        <v>18</v>
      </c>
      <c r="G110" t="s">
        <v>20</v>
      </c>
      <c r="H110">
        <v>1</v>
      </c>
      <c r="K110">
        <v>0</v>
      </c>
      <c r="L110">
        <v>1</v>
      </c>
      <c r="M110">
        <v>0</v>
      </c>
      <c r="N110">
        <v>1</v>
      </c>
    </row>
    <row r="111" spans="1:16" x14ac:dyDescent="0.25">
      <c r="A111" t="str">
        <f>"107"</f>
        <v>107</v>
      </c>
      <c r="B111" t="str">
        <f t="shared" si="4"/>
        <v>102</v>
      </c>
      <c r="C111" t="str">
        <f t="shared" si="6"/>
        <v>5</v>
      </c>
      <c r="D111" t="str">
        <f>"25"</f>
        <v>25</v>
      </c>
      <c r="E111" t="str">
        <f>"102-5-25"</f>
        <v>102-5-25</v>
      </c>
      <c r="F111" t="s">
        <v>18</v>
      </c>
      <c r="G111" t="s">
        <v>19</v>
      </c>
      <c r="H111">
        <v>2</v>
      </c>
      <c r="I111">
        <v>1</v>
      </c>
      <c r="J111">
        <v>1</v>
      </c>
      <c r="K111">
        <v>0</v>
      </c>
      <c r="L111">
        <v>1</v>
      </c>
      <c r="M111">
        <v>0</v>
      </c>
      <c r="N111">
        <v>1</v>
      </c>
      <c r="O111">
        <v>1</v>
      </c>
      <c r="P111">
        <v>0</v>
      </c>
    </row>
    <row r="112" spans="1:16" x14ac:dyDescent="0.25">
      <c r="A112" t="str">
        <f>"108"</f>
        <v>108</v>
      </c>
      <c r="B112" t="str">
        <f t="shared" si="4"/>
        <v>102</v>
      </c>
      <c r="C112" t="str">
        <f t="shared" si="6"/>
        <v>5</v>
      </c>
      <c r="D112" t="str">
        <f>"13"</f>
        <v>13</v>
      </c>
      <c r="E112" t="str">
        <f>"102-5-13"</f>
        <v>102-5-13</v>
      </c>
      <c r="F112" t="s">
        <v>18</v>
      </c>
      <c r="G112" t="s">
        <v>20</v>
      </c>
      <c r="H112">
        <v>1</v>
      </c>
      <c r="K112">
        <v>1</v>
      </c>
      <c r="L112">
        <v>0</v>
      </c>
      <c r="M112">
        <v>1</v>
      </c>
      <c r="N112">
        <v>0</v>
      </c>
    </row>
    <row r="113" spans="1:16" x14ac:dyDescent="0.25">
      <c r="A113" t="str">
        <f>"109"</f>
        <v>109</v>
      </c>
      <c r="B113" t="str">
        <f t="shared" si="4"/>
        <v>102</v>
      </c>
      <c r="C113" t="str">
        <f t="shared" si="6"/>
        <v>5</v>
      </c>
      <c r="D113" t="str">
        <f>"3"</f>
        <v>3</v>
      </c>
      <c r="E113" t="str">
        <f>"102-5-3"</f>
        <v>102-5-3</v>
      </c>
      <c r="F113" t="s">
        <v>18</v>
      </c>
      <c r="G113" t="s">
        <v>20</v>
      </c>
      <c r="H113">
        <v>1</v>
      </c>
      <c r="K113">
        <v>0</v>
      </c>
      <c r="L113">
        <v>1</v>
      </c>
      <c r="M113">
        <v>0</v>
      </c>
      <c r="N113">
        <v>1</v>
      </c>
    </row>
    <row r="114" spans="1:16" x14ac:dyDescent="0.25">
      <c r="A114" t="str">
        <f>"110"</f>
        <v>110</v>
      </c>
      <c r="B114" t="str">
        <f t="shared" si="4"/>
        <v>102</v>
      </c>
      <c r="C114" t="str">
        <f t="shared" si="6"/>
        <v>5</v>
      </c>
      <c r="D114" t="str">
        <f>"24"</f>
        <v>24</v>
      </c>
      <c r="E114" t="str">
        <f>"102-5-24"</f>
        <v>102-5-24</v>
      </c>
      <c r="F114" t="s">
        <v>18</v>
      </c>
      <c r="G114" t="s">
        <v>19</v>
      </c>
      <c r="H114">
        <v>2</v>
      </c>
      <c r="I114">
        <v>1</v>
      </c>
      <c r="J114">
        <v>1</v>
      </c>
      <c r="K114">
        <v>0</v>
      </c>
      <c r="L114">
        <v>1</v>
      </c>
      <c r="M114">
        <v>1</v>
      </c>
      <c r="N114">
        <v>0</v>
      </c>
      <c r="O114">
        <v>1</v>
      </c>
      <c r="P114">
        <v>0</v>
      </c>
    </row>
    <row r="115" spans="1:16" x14ac:dyDescent="0.25">
      <c r="A115" t="str">
        <f>"111"</f>
        <v>111</v>
      </c>
      <c r="B115" t="str">
        <f t="shared" si="4"/>
        <v>102</v>
      </c>
      <c r="C115" t="str">
        <f t="shared" si="6"/>
        <v>5</v>
      </c>
      <c r="D115" t="str">
        <f>"14"</f>
        <v>14</v>
      </c>
      <c r="E115" t="str">
        <f>"102-5-14"</f>
        <v>102-5-14</v>
      </c>
      <c r="F115" t="s">
        <v>18</v>
      </c>
      <c r="G115" t="s">
        <v>20</v>
      </c>
      <c r="H115">
        <v>1</v>
      </c>
      <c r="K115">
        <v>1</v>
      </c>
      <c r="L115">
        <v>0</v>
      </c>
      <c r="M115">
        <v>1</v>
      </c>
      <c r="N115">
        <v>0</v>
      </c>
    </row>
    <row r="116" spans="1:16" x14ac:dyDescent="0.25">
      <c r="A116" t="str">
        <f>"112"</f>
        <v>112</v>
      </c>
      <c r="B116" t="str">
        <f t="shared" si="4"/>
        <v>102</v>
      </c>
      <c r="C116" t="str">
        <f t="shared" si="6"/>
        <v>5</v>
      </c>
      <c r="D116" t="str">
        <f>"4"</f>
        <v>4</v>
      </c>
      <c r="E116" t="str">
        <f>"102-5-4"</f>
        <v>102-5-4</v>
      </c>
      <c r="F116" t="s">
        <v>18</v>
      </c>
      <c r="G116" t="s">
        <v>20</v>
      </c>
      <c r="H116">
        <v>1</v>
      </c>
      <c r="K116">
        <v>0</v>
      </c>
      <c r="L116">
        <v>1</v>
      </c>
      <c r="M116">
        <v>0</v>
      </c>
      <c r="N116">
        <v>1</v>
      </c>
    </row>
    <row r="117" spans="1:16" x14ac:dyDescent="0.25">
      <c r="A117" t="str">
        <f>"113"</f>
        <v>113</v>
      </c>
      <c r="B117" t="str">
        <f t="shared" si="4"/>
        <v>102</v>
      </c>
      <c r="C117" t="str">
        <f t="shared" si="6"/>
        <v>5</v>
      </c>
      <c r="D117" t="str">
        <f>"22"</f>
        <v>22</v>
      </c>
      <c r="E117" t="str">
        <f>"102-5-22"</f>
        <v>102-5-22</v>
      </c>
      <c r="F117" t="s">
        <v>18</v>
      </c>
      <c r="G117" t="s">
        <v>19</v>
      </c>
      <c r="H117">
        <v>2</v>
      </c>
      <c r="I117">
        <v>1</v>
      </c>
      <c r="J117">
        <v>1</v>
      </c>
      <c r="K117">
        <v>1</v>
      </c>
      <c r="L117">
        <v>0</v>
      </c>
      <c r="M117">
        <v>1</v>
      </c>
      <c r="N117">
        <v>0</v>
      </c>
      <c r="O117">
        <v>1</v>
      </c>
      <c r="P117">
        <v>0</v>
      </c>
    </row>
    <row r="118" spans="1:16" x14ac:dyDescent="0.25">
      <c r="A118" t="str">
        <f>"114"</f>
        <v>114</v>
      </c>
      <c r="B118" t="str">
        <f t="shared" si="4"/>
        <v>102</v>
      </c>
      <c r="C118" t="str">
        <f t="shared" si="6"/>
        <v>5</v>
      </c>
      <c r="D118" t="str">
        <f>"15"</f>
        <v>15</v>
      </c>
      <c r="E118" t="str">
        <f>"102-5-15"</f>
        <v>102-5-15</v>
      </c>
      <c r="F118" t="s">
        <v>18</v>
      </c>
      <c r="G118" t="s">
        <v>20</v>
      </c>
      <c r="H118">
        <v>1</v>
      </c>
      <c r="K118">
        <v>0</v>
      </c>
      <c r="L118">
        <v>1</v>
      </c>
      <c r="M118">
        <v>0</v>
      </c>
      <c r="N118">
        <v>1</v>
      </c>
    </row>
    <row r="119" spans="1:16" x14ac:dyDescent="0.25">
      <c r="A119" t="str">
        <f>"115"</f>
        <v>115</v>
      </c>
      <c r="B119" t="str">
        <f t="shared" si="4"/>
        <v>102</v>
      </c>
      <c r="C119" t="str">
        <f t="shared" si="6"/>
        <v>5</v>
      </c>
      <c r="D119" t="str">
        <f>"10"</f>
        <v>10</v>
      </c>
      <c r="E119" t="str">
        <f>"102-5-10"</f>
        <v>102-5-10</v>
      </c>
      <c r="F119" t="s">
        <v>18</v>
      </c>
      <c r="G119" t="s">
        <v>20</v>
      </c>
      <c r="H119">
        <v>1</v>
      </c>
      <c r="K119">
        <v>1</v>
      </c>
      <c r="L119">
        <v>0</v>
      </c>
      <c r="M119">
        <v>0</v>
      </c>
      <c r="N119">
        <v>1</v>
      </c>
    </row>
    <row r="120" spans="1:16" x14ac:dyDescent="0.25">
      <c r="A120" t="str">
        <f>"116"</f>
        <v>116</v>
      </c>
      <c r="B120" t="str">
        <f t="shared" si="4"/>
        <v>102</v>
      </c>
      <c r="C120" t="str">
        <f t="shared" si="6"/>
        <v>5</v>
      </c>
      <c r="D120" t="str">
        <f>"16"</f>
        <v>16</v>
      </c>
      <c r="E120" t="str">
        <f>"102-5-16"</f>
        <v>102-5-16</v>
      </c>
      <c r="F120" t="s">
        <v>18</v>
      </c>
      <c r="G120" t="s">
        <v>19</v>
      </c>
      <c r="H120">
        <v>2</v>
      </c>
      <c r="I120">
        <v>1</v>
      </c>
      <c r="J120">
        <v>1</v>
      </c>
      <c r="K120">
        <v>1</v>
      </c>
      <c r="L120">
        <v>0</v>
      </c>
      <c r="M120">
        <v>0</v>
      </c>
      <c r="N120">
        <v>1</v>
      </c>
      <c r="O120">
        <v>1</v>
      </c>
      <c r="P120">
        <v>0</v>
      </c>
    </row>
    <row r="121" spans="1:16" x14ac:dyDescent="0.25">
      <c r="A121" t="str">
        <f>"117"</f>
        <v>117</v>
      </c>
      <c r="B121" t="str">
        <f t="shared" si="4"/>
        <v>102</v>
      </c>
      <c r="C121" t="str">
        <f t="shared" si="6"/>
        <v>5</v>
      </c>
      <c r="D121" t="str">
        <f>"5"</f>
        <v>5</v>
      </c>
      <c r="E121" t="str">
        <f>"102-5-5"</f>
        <v>102-5-5</v>
      </c>
      <c r="F121" t="s">
        <v>18</v>
      </c>
      <c r="G121" t="s">
        <v>20</v>
      </c>
      <c r="H121">
        <v>1</v>
      </c>
      <c r="K121">
        <v>0</v>
      </c>
      <c r="L121">
        <v>1</v>
      </c>
      <c r="M121">
        <v>0</v>
      </c>
      <c r="N121">
        <v>1</v>
      </c>
    </row>
    <row r="122" spans="1:16" x14ac:dyDescent="0.25">
      <c r="A122" t="str">
        <f>"118"</f>
        <v>118</v>
      </c>
      <c r="B122" t="str">
        <f t="shared" si="4"/>
        <v>102</v>
      </c>
      <c r="C122" t="str">
        <f t="shared" si="6"/>
        <v>5</v>
      </c>
      <c r="D122" t="str">
        <f>"17"</f>
        <v>17</v>
      </c>
      <c r="E122" t="str">
        <f>"102-5-17"</f>
        <v>102-5-17</v>
      </c>
      <c r="F122" t="s">
        <v>18</v>
      </c>
      <c r="G122" t="s">
        <v>19</v>
      </c>
      <c r="H122">
        <v>2</v>
      </c>
      <c r="I122">
        <v>0</v>
      </c>
      <c r="J122">
        <v>0</v>
      </c>
      <c r="K122">
        <v>1</v>
      </c>
      <c r="L122">
        <v>0</v>
      </c>
      <c r="M122">
        <v>1</v>
      </c>
      <c r="N122">
        <v>0</v>
      </c>
      <c r="O122">
        <v>1</v>
      </c>
      <c r="P122">
        <v>0</v>
      </c>
    </row>
    <row r="123" spans="1:16" x14ac:dyDescent="0.25">
      <c r="A123" t="str">
        <f>"119"</f>
        <v>119</v>
      </c>
      <c r="B123" t="str">
        <f t="shared" si="4"/>
        <v>102</v>
      </c>
      <c r="C123" t="str">
        <f t="shared" si="6"/>
        <v>5</v>
      </c>
      <c r="D123" t="str">
        <f>"1"</f>
        <v>1</v>
      </c>
      <c r="E123" t="str">
        <f>"102-5-1"</f>
        <v>102-5-1</v>
      </c>
      <c r="F123" t="s">
        <v>18</v>
      </c>
      <c r="G123" t="s">
        <v>20</v>
      </c>
      <c r="H123">
        <v>1</v>
      </c>
      <c r="K123">
        <v>0</v>
      </c>
      <c r="L123">
        <v>1</v>
      </c>
      <c r="M123">
        <v>0</v>
      </c>
      <c r="N123">
        <v>1</v>
      </c>
    </row>
    <row r="124" spans="1:16" x14ac:dyDescent="0.25">
      <c r="A124" t="str">
        <f>"120"</f>
        <v>120</v>
      </c>
      <c r="B124" t="str">
        <f t="shared" si="4"/>
        <v>102</v>
      </c>
      <c r="C124" t="str">
        <f t="shared" si="6"/>
        <v>5</v>
      </c>
      <c r="D124" t="str">
        <f>"18"</f>
        <v>18</v>
      </c>
      <c r="E124" t="str">
        <f>"102-5-18"</f>
        <v>102-5-18</v>
      </c>
      <c r="F124" t="s">
        <v>18</v>
      </c>
      <c r="G124" t="s">
        <v>20</v>
      </c>
      <c r="H124">
        <v>1</v>
      </c>
      <c r="K124">
        <v>0</v>
      </c>
      <c r="L124">
        <v>1</v>
      </c>
      <c r="M124">
        <v>0</v>
      </c>
      <c r="N124">
        <v>1</v>
      </c>
    </row>
    <row r="125" spans="1:16" x14ac:dyDescent="0.25">
      <c r="A125" t="str">
        <f>"121"</f>
        <v>121</v>
      </c>
      <c r="B125" t="str">
        <f t="shared" si="4"/>
        <v>102</v>
      </c>
      <c r="C125" t="str">
        <f t="shared" si="6"/>
        <v>5</v>
      </c>
      <c r="D125" t="str">
        <f>"6"</f>
        <v>6</v>
      </c>
      <c r="E125" t="str">
        <f>"102-5-6"</f>
        <v>102-5-6</v>
      </c>
      <c r="F125" t="s">
        <v>18</v>
      </c>
      <c r="G125" t="s">
        <v>20</v>
      </c>
      <c r="H125">
        <v>1</v>
      </c>
      <c r="K125">
        <v>1</v>
      </c>
      <c r="L125">
        <v>0</v>
      </c>
      <c r="M125">
        <v>1</v>
      </c>
      <c r="N125">
        <v>0</v>
      </c>
    </row>
    <row r="126" spans="1:16" x14ac:dyDescent="0.25">
      <c r="A126" t="str">
        <f>"122"</f>
        <v>122</v>
      </c>
      <c r="B126" t="str">
        <f t="shared" si="4"/>
        <v>102</v>
      </c>
      <c r="C126" t="str">
        <f t="shared" si="6"/>
        <v>5</v>
      </c>
      <c r="D126" t="str">
        <f>"19"</f>
        <v>19</v>
      </c>
      <c r="E126" t="str">
        <f>"102-5-19"</f>
        <v>102-5-19</v>
      </c>
      <c r="F126" t="s">
        <v>18</v>
      </c>
      <c r="G126" t="s">
        <v>19</v>
      </c>
      <c r="H126">
        <v>2</v>
      </c>
      <c r="I126">
        <v>1</v>
      </c>
      <c r="J126">
        <v>1</v>
      </c>
      <c r="K126">
        <v>1</v>
      </c>
      <c r="L126">
        <v>0</v>
      </c>
      <c r="M126">
        <v>1</v>
      </c>
      <c r="N126">
        <v>0</v>
      </c>
      <c r="O126">
        <v>1</v>
      </c>
      <c r="P126">
        <v>0</v>
      </c>
    </row>
    <row r="127" spans="1:16" x14ac:dyDescent="0.25">
      <c r="A127" t="str">
        <f>"123"</f>
        <v>123</v>
      </c>
      <c r="B127" t="str">
        <f t="shared" si="4"/>
        <v>102</v>
      </c>
      <c r="C127" t="str">
        <f t="shared" si="6"/>
        <v>5</v>
      </c>
      <c r="D127" t="str">
        <f>"9"</f>
        <v>9</v>
      </c>
      <c r="E127" t="str">
        <f>"102-5-9"</f>
        <v>102-5-9</v>
      </c>
      <c r="F127" t="s">
        <v>18</v>
      </c>
      <c r="G127" t="s">
        <v>20</v>
      </c>
      <c r="H127">
        <v>1</v>
      </c>
      <c r="K127">
        <v>1</v>
      </c>
      <c r="L127">
        <v>0</v>
      </c>
      <c r="M127">
        <v>0</v>
      </c>
      <c r="N127">
        <v>1</v>
      </c>
    </row>
    <row r="128" spans="1:16" x14ac:dyDescent="0.25">
      <c r="A128" t="str">
        <f>"124"</f>
        <v>124</v>
      </c>
      <c r="B128" t="str">
        <f t="shared" si="4"/>
        <v>102</v>
      </c>
      <c r="C128" t="str">
        <f t="shared" si="6"/>
        <v>5</v>
      </c>
      <c r="D128" t="str">
        <f>"21"</f>
        <v>21</v>
      </c>
      <c r="E128" t="str">
        <f>"102-5-21"</f>
        <v>102-5-21</v>
      </c>
      <c r="F128" t="s">
        <v>18</v>
      </c>
      <c r="G128" t="s">
        <v>19</v>
      </c>
      <c r="H128">
        <v>2</v>
      </c>
      <c r="I128">
        <v>0</v>
      </c>
      <c r="J128">
        <v>0</v>
      </c>
      <c r="K128">
        <v>1</v>
      </c>
      <c r="L128">
        <v>0</v>
      </c>
      <c r="M128">
        <v>1</v>
      </c>
      <c r="N128">
        <v>0</v>
      </c>
      <c r="O128">
        <v>1</v>
      </c>
      <c r="P128">
        <v>0</v>
      </c>
    </row>
    <row r="129" spans="1:16" x14ac:dyDescent="0.25">
      <c r="A129" t="str">
        <f>"125"</f>
        <v>125</v>
      </c>
      <c r="B129" t="str">
        <f t="shared" si="4"/>
        <v>102</v>
      </c>
      <c r="C129" t="str">
        <f t="shared" si="6"/>
        <v>5</v>
      </c>
      <c r="D129" t="str">
        <f>"8"</f>
        <v>8</v>
      </c>
      <c r="E129" t="str">
        <f>"102-5-8"</f>
        <v>102-5-8</v>
      </c>
      <c r="F129" t="s">
        <v>18</v>
      </c>
      <c r="G129" t="s">
        <v>19</v>
      </c>
      <c r="H129">
        <v>2</v>
      </c>
      <c r="I129">
        <v>1</v>
      </c>
      <c r="J129">
        <v>1</v>
      </c>
      <c r="K129">
        <v>0</v>
      </c>
      <c r="L129">
        <v>1</v>
      </c>
      <c r="M129">
        <v>0</v>
      </c>
      <c r="N129">
        <v>1</v>
      </c>
      <c r="O129">
        <v>0</v>
      </c>
      <c r="P129">
        <v>1</v>
      </c>
    </row>
    <row r="130" spans="1:16" x14ac:dyDescent="0.25">
      <c r="A130" t="str">
        <f>"126"</f>
        <v>126</v>
      </c>
      <c r="B130" t="str">
        <f t="shared" si="4"/>
        <v>102</v>
      </c>
      <c r="C130" t="str">
        <f t="shared" ref="C130:C154" si="7">"6"</f>
        <v>6</v>
      </c>
      <c r="D130" t="str">
        <f>"23"</f>
        <v>23</v>
      </c>
      <c r="E130" t="str">
        <f>"102-6-23"</f>
        <v>102-6-23</v>
      </c>
      <c r="F130" t="s">
        <v>18</v>
      </c>
      <c r="G130" t="s">
        <v>20</v>
      </c>
      <c r="H130">
        <v>1</v>
      </c>
      <c r="K130">
        <v>0</v>
      </c>
      <c r="L130">
        <v>1</v>
      </c>
      <c r="M130">
        <v>0</v>
      </c>
      <c r="N130">
        <v>1</v>
      </c>
    </row>
    <row r="131" spans="1:16" x14ac:dyDescent="0.25">
      <c r="A131" t="str">
        <f>"127"</f>
        <v>127</v>
      </c>
      <c r="B131" t="str">
        <f t="shared" si="4"/>
        <v>102</v>
      </c>
      <c r="C131" t="str">
        <f t="shared" si="7"/>
        <v>6</v>
      </c>
      <c r="D131" t="str">
        <f>"11"</f>
        <v>11</v>
      </c>
      <c r="E131" t="str">
        <f>"102-6-11"</f>
        <v>102-6-11</v>
      </c>
      <c r="F131" t="s">
        <v>18</v>
      </c>
      <c r="G131" t="s">
        <v>19</v>
      </c>
      <c r="H131">
        <v>2</v>
      </c>
      <c r="I131">
        <v>1</v>
      </c>
      <c r="J131">
        <v>0</v>
      </c>
      <c r="K131">
        <v>1</v>
      </c>
      <c r="L131">
        <v>0</v>
      </c>
      <c r="M131">
        <v>1</v>
      </c>
      <c r="N131">
        <v>0</v>
      </c>
      <c r="O131">
        <v>1</v>
      </c>
      <c r="P131">
        <v>0</v>
      </c>
    </row>
    <row r="132" spans="1:16" x14ac:dyDescent="0.25">
      <c r="A132" t="str">
        <f>"128"</f>
        <v>128</v>
      </c>
      <c r="B132" t="str">
        <f t="shared" si="4"/>
        <v>102</v>
      </c>
      <c r="C132" t="str">
        <f t="shared" si="7"/>
        <v>6</v>
      </c>
      <c r="D132" t="str">
        <f>"2"</f>
        <v>2</v>
      </c>
      <c r="E132" t="str">
        <f>"102-6-2"</f>
        <v>102-6-2</v>
      </c>
      <c r="F132" t="s">
        <v>18</v>
      </c>
      <c r="G132" t="s">
        <v>20</v>
      </c>
      <c r="H132">
        <v>1</v>
      </c>
      <c r="K132">
        <v>0</v>
      </c>
      <c r="L132">
        <v>1</v>
      </c>
      <c r="M132">
        <v>0</v>
      </c>
      <c r="N132">
        <v>1</v>
      </c>
    </row>
    <row r="133" spans="1:16" x14ac:dyDescent="0.25">
      <c r="A133" t="str">
        <f>"129"</f>
        <v>129</v>
      </c>
      <c r="B133" t="str">
        <f t="shared" ref="B133:B196" si="8">"102"</f>
        <v>102</v>
      </c>
      <c r="C133" t="str">
        <f t="shared" si="7"/>
        <v>6</v>
      </c>
      <c r="D133" t="str">
        <f>"24"</f>
        <v>24</v>
      </c>
      <c r="E133" t="str">
        <f>"102-6-24"</f>
        <v>102-6-24</v>
      </c>
      <c r="F133" t="s">
        <v>18</v>
      </c>
      <c r="G133" t="s">
        <v>20</v>
      </c>
      <c r="H133">
        <v>1</v>
      </c>
      <c r="K133">
        <v>0</v>
      </c>
      <c r="L133">
        <v>1</v>
      </c>
      <c r="M133">
        <v>0</v>
      </c>
      <c r="N133">
        <v>1</v>
      </c>
    </row>
    <row r="134" spans="1:16" x14ac:dyDescent="0.25">
      <c r="A134" t="str">
        <f>"130"</f>
        <v>130</v>
      </c>
      <c r="B134" t="str">
        <f t="shared" si="8"/>
        <v>102</v>
      </c>
      <c r="C134" t="str">
        <f t="shared" si="7"/>
        <v>6</v>
      </c>
      <c r="D134" t="str">
        <f>"12"</f>
        <v>12</v>
      </c>
      <c r="E134" t="str">
        <f>"102-6-12"</f>
        <v>102-6-12</v>
      </c>
      <c r="F134" t="s">
        <v>18</v>
      </c>
      <c r="G134" t="s">
        <v>19</v>
      </c>
      <c r="H134">
        <v>2</v>
      </c>
      <c r="I134">
        <v>1</v>
      </c>
      <c r="J134">
        <v>1</v>
      </c>
      <c r="K134">
        <v>0</v>
      </c>
      <c r="L134">
        <v>1</v>
      </c>
      <c r="M134">
        <v>0</v>
      </c>
      <c r="N134">
        <v>1</v>
      </c>
      <c r="O134">
        <v>0</v>
      </c>
      <c r="P134">
        <v>0</v>
      </c>
    </row>
    <row r="135" spans="1:16" x14ac:dyDescent="0.25">
      <c r="A135" t="str">
        <f>"131"</f>
        <v>131</v>
      </c>
      <c r="B135" t="str">
        <f t="shared" si="8"/>
        <v>102</v>
      </c>
      <c r="C135" t="str">
        <f t="shared" si="7"/>
        <v>6</v>
      </c>
      <c r="D135" t="str">
        <f>"4"</f>
        <v>4</v>
      </c>
      <c r="E135" t="str">
        <f>"102-6-4"</f>
        <v>102-6-4</v>
      </c>
      <c r="F135" t="s">
        <v>18</v>
      </c>
      <c r="G135" t="s">
        <v>19</v>
      </c>
      <c r="H135">
        <v>2</v>
      </c>
      <c r="I135">
        <v>1</v>
      </c>
      <c r="J135">
        <v>1</v>
      </c>
      <c r="K135">
        <v>0</v>
      </c>
      <c r="L135">
        <v>1</v>
      </c>
      <c r="M135">
        <v>0</v>
      </c>
      <c r="N135">
        <v>1</v>
      </c>
      <c r="O135">
        <v>0</v>
      </c>
      <c r="P135">
        <v>1</v>
      </c>
    </row>
    <row r="136" spans="1:16" x14ac:dyDescent="0.25">
      <c r="A136" t="str">
        <f>"132"</f>
        <v>132</v>
      </c>
      <c r="B136" t="str">
        <f t="shared" si="8"/>
        <v>102</v>
      </c>
      <c r="C136" t="str">
        <f t="shared" si="7"/>
        <v>6</v>
      </c>
      <c r="D136" t="str">
        <f>"21"</f>
        <v>21</v>
      </c>
      <c r="E136" t="str">
        <f>"102-6-21"</f>
        <v>102-6-21</v>
      </c>
      <c r="F136" t="s">
        <v>18</v>
      </c>
      <c r="G136" t="s">
        <v>20</v>
      </c>
      <c r="H136">
        <v>1</v>
      </c>
      <c r="K136">
        <v>0</v>
      </c>
      <c r="L136">
        <v>1</v>
      </c>
      <c r="M136">
        <v>0</v>
      </c>
      <c r="N136">
        <v>1</v>
      </c>
    </row>
    <row r="137" spans="1:16" x14ac:dyDescent="0.25">
      <c r="A137" t="str">
        <f>"133"</f>
        <v>133</v>
      </c>
      <c r="B137" t="str">
        <f t="shared" si="8"/>
        <v>102</v>
      </c>
      <c r="C137" t="str">
        <f t="shared" si="7"/>
        <v>6</v>
      </c>
      <c r="D137" t="str">
        <f>"13"</f>
        <v>13</v>
      </c>
      <c r="E137" t="str">
        <f>"102-6-13"</f>
        <v>102-6-13</v>
      </c>
      <c r="F137" t="s">
        <v>18</v>
      </c>
      <c r="G137" t="s">
        <v>19</v>
      </c>
      <c r="H137">
        <v>2</v>
      </c>
      <c r="I137">
        <v>1</v>
      </c>
      <c r="J137">
        <v>1</v>
      </c>
      <c r="K137">
        <v>0</v>
      </c>
      <c r="L137">
        <v>1</v>
      </c>
      <c r="M137">
        <v>0</v>
      </c>
      <c r="N137">
        <v>1</v>
      </c>
      <c r="O137">
        <v>1</v>
      </c>
      <c r="P137">
        <v>0</v>
      </c>
    </row>
    <row r="138" spans="1:16" x14ac:dyDescent="0.25">
      <c r="A138" t="str">
        <f>"134"</f>
        <v>134</v>
      </c>
      <c r="B138" t="str">
        <f t="shared" si="8"/>
        <v>102</v>
      </c>
      <c r="C138" t="str">
        <f t="shared" si="7"/>
        <v>6</v>
      </c>
      <c r="D138" t="str">
        <f>"7"</f>
        <v>7</v>
      </c>
      <c r="E138" t="str">
        <f>"102-6-7"</f>
        <v>102-6-7</v>
      </c>
      <c r="F138" t="s">
        <v>18</v>
      </c>
      <c r="G138" t="s">
        <v>19</v>
      </c>
      <c r="H138">
        <v>2</v>
      </c>
      <c r="I138">
        <v>1</v>
      </c>
      <c r="J138">
        <v>1</v>
      </c>
      <c r="K138">
        <v>0</v>
      </c>
      <c r="L138">
        <v>1</v>
      </c>
      <c r="M138">
        <v>0</v>
      </c>
      <c r="N138">
        <v>1</v>
      </c>
      <c r="O138">
        <v>1</v>
      </c>
      <c r="P138">
        <v>0</v>
      </c>
    </row>
    <row r="139" spans="1:16" x14ac:dyDescent="0.25">
      <c r="A139" t="str">
        <f>"135"</f>
        <v>135</v>
      </c>
      <c r="B139" t="str">
        <f t="shared" si="8"/>
        <v>102</v>
      </c>
      <c r="C139" t="str">
        <f t="shared" si="7"/>
        <v>6</v>
      </c>
      <c r="D139" t="str">
        <f>"14"</f>
        <v>14</v>
      </c>
      <c r="E139" t="str">
        <f>"102-6-14"</f>
        <v>102-6-14</v>
      </c>
      <c r="F139" t="s">
        <v>18</v>
      </c>
      <c r="G139" t="s">
        <v>19</v>
      </c>
      <c r="H139">
        <v>2</v>
      </c>
      <c r="I139">
        <v>1</v>
      </c>
      <c r="J139">
        <v>1</v>
      </c>
      <c r="K139">
        <v>1</v>
      </c>
      <c r="L139">
        <v>0</v>
      </c>
      <c r="M139">
        <v>1</v>
      </c>
      <c r="N139">
        <v>0</v>
      </c>
      <c r="O139">
        <v>1</v>
      </c>
      <c r="P139">
        <v>0</v>
      </c>
    </row>
    <row r="140" spans="1:16" x14ac:dyDescent="0.25">
      <c r="A140" t="str">
        <f>"136"</f>
        <v>136</v>
      </c>
      <c r="B140" t="str">
        <f t="shared" si="8"/>
        <v>102</v>
      </c>
      <c r="C140" t="str">
        <f t="shared" si="7"/>
        <v>6</v>
      </c>
      <c r="D140" t="str">
        <f>"8"</f>
        <v>8</v>
      </c>
      <c r="E140" t="str">
        <f>"102-6-8"</f>
        <v>102-6-8</v>
      </c>
      <c r="F140" t="s">
        <v>18</v>
      </c>
      <c r="G140" t="s">
        <v>19</v>
      </c>
      <c r="H140">
        <v>2</v>
      </c>
      <c r="I140">
        <v>0</v>
      </c>
      <c r="J140">
        <v>1</v>
      </c>
      <c r="K140">
        <v>0</v>
      </c>
      <c r="L140">
        <v>1</v>
      </c>
      <c r="M140">
        <v>0</v>
      </c>
      <c r="N140">
        <v>1</v>
      </c>
      <c r="O140">
        <v>0</v>
      </c>
      <c r="P140">
        <v>1</v>
      </c>
    </row>
    <row r="141" spans="1:16" x14ac:dyDescent="0.25">
      <c r="A141" t="str">
        <f>"137"</f>
        <v>137</v>
      </c>
      <c r="B141" t="str">
        <f t="shared" si="8"/>
        <v>102</v>
      </c>
      <c r="C141" t="str">
        <f t="shared" si="7"/>
        <v>6</v>
      </c>
      <c r="D141" t="str">
        <f>"22"</f>
        <v>22</v>
      </c>
      <c r="E141" t="str">
        <f>"102-6-22"</f>
        <v>102-6-22</v>
      </c>
      <c r="F141" t="s">
        <v>18</v>
      </c>
      <c r="G141" t="s">
        <v>20</v>
      </c>
      <c r="H141">
        <v>1</v>
      </c>
      <c r="K141">
        <v>0</v>
      </c>
      <c r="L141">
        <v>1</v>
      </c>
      <c r="M141">
        <v>0</v>
      </c>
      <c r="N141">
        <v>1</v>
      </c>
    </row>
    <row r="142" spans="1:16" x14ac:dyDescent="0.25">
      <c r="A142" t="str">
        <f>"138"</f>
        <v>138</v>
      </c>
      <c r="B142" t="str">
        <f t="shared" si="8"/>
        <v>102</v>
      </c>
      <c r="C142" t="str">
        <f t="shared" si="7"/>
        <v>6</v>
      </c>
      <c r="D142" t="str">
        <f>"15"</f>
        <v>15</v>
      </c>
      <c r="E142" t="str">
        <f>"102-6-15"</f>
        <v>102-6-15</v>
      </c>
      <c r="F142" t="s">
        <v>18</v>
      </c>
      <c r="G142" t="s">
        <v>20</v>
      </c>
      <c r="H142">
        <v>1</v>
      </c>
      <c r="K142">
        <v>0</v>
      </c>
      <c r="L142">
        <v>1</v>
      </c>
      <c r="M142">
        <v>0</v>
      </c>
      <c r="N142">
        <v>1</v>
      </c>
    </row>
    <row r="143" spans="1:16" x14ac:dyDescent="0.25">
      <c r="A143" t="str">
        <f>"139"</f>
        <v>139</v>
      </c>
      <c r="B143" t="str">
        <f t="shared" si="8"/>
        <v>102</v>
      </c>
      <c r="C143" t="str">
        <f t="shared" si="7"/>
        <v>6</v>
      </c>
      <c r="D143" t="str">
        <f>"3"</f>
        <v>3</v>
      </c>
      <c r="E143" t="str">
        <f>"102-6-3"</f>
        <v>102-6-3</v>
      </c>
      <c r="F143" t="s">
        <v>18</v>
      </c>
      <c r="G143" t="s">
        <v>19</v>
      </c>
      <c r="H143">
        <v>2</v>
      </c>
      <c r="I143">
        <v>1</v>
      </c>
      <c r="J143">
        <v>1</v>
      </c>
      <c r="K143">
        <v>0</v>
      </c>
      <c r="L143">
        <v>1</v>
      </c>
      <c r="M143">
        <v>1</v>
      </c>
      <c r="N143">
        <v>0</v>
      </c>
      <c r="O143">
        <v>1</v>
      </c>
      <c r="P143">
        <v>0</v>
      </c>
    </row>
    <row r="144" spans="1:16" x14ac:dyDescent="0.25">
      <c r="A144" t="str">
        <f>"140"</f>
        <v>140</v>
      </c>
      <c r="B144" t="str">
        <f t="shared" si="8"/>
        <v>102</v>
      </c>
      <c r="C144" t="str">
        <f t="shared" si="7"/>
        <v>6</v>
      </c>
      <c r="D144" t="str">
        <f>"25"</f>
        <v>25</v>
      </c>
      <c r="E144" t="str">
        <f>"102-6-25"</f>
        <v>102-6-25</v>
      </c>
      <c r="F144" t="s">
        <v>18</v>
      </c>
      <c r="G144" t="s">
        <v>20</v>
      </c>
      <c r="H144">
        <v>1</v>
      </c>
      <c r="K144">
        <v>1</v>
      </c>
      <c r="L144">
        <v>0</v>
      </c>
      <c r="M144">
        <v>1</v>
      </c>
      <c r="N144">
        <v>0</v>
      </c>
    </row>
    <row r="145" spans="1:16" x14ac:dyDescent="0.25">
      <c r="A145" t="str">
        <f>"141"</f>
        <v>141</v>
      </c>
      <c r="B145" t="str">
        <f t="shared" si="8"/>
        <v>102</v>
      </c>
      <c r="C145" t="str">
        <f t="shared" si="7"/>
        <v>6</v>
      </c>
      <c r="D145" t="str">
        <f>"16"</f>
        <v>16</v>
      </c>
      <c r="E145" t="str">
        <f>"102-6-16"</f>
        <v>102-6-16</v>
      </c>
      <c r="F145" t="s">
        <v>18</v>
      </c>
      <c r="G145" t="s">
        <v>19</v>
      </c>
      <c r="H145">
        <v>2</v>
      </c>
      <c r="I145">
        <v>1</v>
      </c>
      <c r="J145">
        <v>1</v>
      </c>
      <c r="K145">
        <v>1</v>
      </c>
      <c r="L145">
        <v>0</v>
      </c>
      <c r="M145">
        <v>0</v>
      </c>
      <c r="N145">
        <v>1</v>
      </c>
      <c r="O145">
        <v>1</v>
      </c>
      <c r="P145">
        <v>0</v>
      </c>
    </row>
    <row r="146" spans="1:16" x14ac:dyDescent="0.25">
      <c r="A146" t="str">
        <f>"142"</f>
        <v>142</v>
      </c>
      <c r="B146" t="str">
        <f t="shared" si="8"/>
        <v>102</v>
      </c>
      <c r="C146" t="str">
        <f t="shared" si="7"/>
        <v>6</v>
      </c>
      <c r="D146" t="str">
        <f>"10"</f>
        <v>10</v>
      </c>
      <c r="E146" t="str">
        <f>"102-6-10"</f>
        <v>102-6-10</v>
      </c>
      <c r="F146" t="s">
        <v>18</v>
      </c>
      <c r="G146" t="s">
        <v>19</v>
      </c>
      <c r="H146">
        <v>2</v>
      </c>
      <c r="I146">
        <v>1</v>
      </c>
      <c r="J146">
        <v>1</v>
      </c>
      <c r="K146">
        <v>0</v>
      </c>
      <c r="L146">
        <v>1</v>
      </c>
      <c r="M146">
        <v>0</v>
      </c>
      <c r="N146">
        <v>1</v>
      </c>
      <c r="O146">
        <v>1</v>
      </c>
      <c r="P146">
        <v>0</v>
      </c>
    </row>
    <row r="147" spans="1:16" x14ac:dyDescent="0.25">
      <c r="A147" t="str">
        <f>"143"</f>
        <v>143</v>
      </c>
      <c r="B147" t="str">
        <f t="shared" si="8"/>
        <v>102</v>
      </c>
      <c r="C147" t="str">
        <f t="shared" si="7"/>
        <v>6</v>
      </c>
      <c r="D147" t="str">
        <f>"17"</f>
        <v>17</v>
      </c>
      <c r="E147" t="str">
        <f>"102-6-17"</f>
        <v>102-6-17</v>
      </c>
      <c r="F147" t="s">
        <v>18</v>
      </c>
      <c r="G147" t="s">
        <v>19</v>
      </c>
      <c r="H147">
        <v>2</v>
      </c>
      <c r="I147">
        <v>0</v>
      </c>
      <c r="J147">
        <v>1</v>
      </c>
      <c r="K147">
        <v>0</v>
      </c>
      <c r="L147">
        <v>1</v>
      </c>
      <c r="M147">
        <v>0</v>
      </c>
      <c r="N147">
        <v>1</v>
      </c>
      <c r="O147">
        <v>1</v>
      </c>
      <c r="P147">
        <v>0</v>
      </c>
    </row>
    <row r="148" spans="1:16" x14ac:dyDescent="0.25">
      <c r="A148" t="str">
        <f>"144"</f>
        <v>144</v>
      </c>
      <c r="B148" t="str">
        <f t="shared" si="8"/>
        <v>102</v>
      </c>
      <c r="C148" t="str">
        <f t="shared" si="7"/>
        <v>6</v>
      </c>
      <c r="D148" t="str">
        <f>"9"</f>
        <v>9</v>
      </c>
      <c r="E148" t="str">
        <f>"102-6-9"</f>
        <v>102-6-9</v>
      </c>
      <c r="F148" t="s">
        <v>18</v>
      </c>
      <c r="G148" t="s">
        <v>19</v>
      </c>
      <c r="H148">
        <v>2</v>
      </c>
      <c r="I148">
        <v>1</v>
      </c>
      <c r="J148">
        <v>1</v>
      </c>
      <c r="K148">
        <v>0</v>
      </c>
      <c r="L148">
        <v>1</v>
      </c>
      <c r="M148">
        <v>0</v>
      </c>
      <c r="N148">
        <v>1</v>
      </c>
      <c r="O148">
        <v>0</v>
      </c>
      <c r="P148">
        <v>1</v>
      </c>
    </row>
    <row r="149" spans="1:16" x14ac:dyDescent="0.25">
      <c r="A149" t="str">
        <f>"145"</f>
        <v>145</v>
      </c>
      <c r="B149" t="str">
        <f t="shared" si="8"/>
        <v>102</v>
      </c>
      <c r="C149" t="str">
        <f t="shared" si="7"/>
        <v>6</v>
      </c>
      <c r="D149" t="str">
        <f>"18"</f>
        <v>18</v>
      </c>
      <c r="E149" t="str">
        <f>"102-6-18"</f>
        <v>102-6-18</v>
      </c>
      <c r="F149" t="s">
        <v>18</v>
      </c>
      <c r="G149" t="s">
        <v>19</v>
      </c>
      <c r="H149">
        <v>2</v>
      </c>
      <c r="I149">
        <v>1</v>
      </c>
      <c r="J149">
        <v>1</v>
      </c>
      <c r="K149">
        <v>1</v>
      </c>
      <c r="L149">
        <v>0</v>
      </c>
      <c r="M149">
        <v>1</v>
      </c>
      <c r="N149">
        <v>0</v>
      </c>
      <c r="O149">
        <v>1</v>
      </c>
      <c r="P149">
        <v>0</v>
      </c>
    </row>
    <row r="150" spans="1:16" x14ac:dyDescent="0.25">
      <c r="A150" t="str">
        <f>"146"</f>
        <v>146</v>
      </c>
      <c r="B150" t="str">
        <f t="shared" si="8"/>
        <v>102</v>
      </c>
      <c r="C150" t="str">
        <f t="shared" si="7"/>
        <v>6</v>
      </c>
      <c r="D150" t="str">
        <f>"6"</f>
        <v>6</v>
      </c>
      <c r="E150" t="str">
        <f>"102-6-6"</f>
        <v>102-6-6</v>
      </c>
      <c r="F150" t="s">
        <v>18</v>
      </c>
      <c r="G150" t="s">
        <v>19</v>
      </c>
      <c r="H150">
        <v>2</v>
      </c>
      <c r="I150">
        <v>1</v>
      </c>
      <c r="J150">
        <v>1</v>
      </c>
      <c r="K150">
        <v>0</v>
      </c>
      <c r="L150">
        <v>1</v>
      </c>
      <c r="M150">
        <v>0</v>
      </c>
      <c r="N150">
        <v>1</v>
      </c>
      <c r="O150">
        <v>1</v>
      </c>
      <c r="P150">
        <v>0</v>
      </c>
    </row>
    <row r="151" spans="1:16" x14ac:dyDescent="0.25">
      <c r="A151" t="str">
        <f>"147"</f>
        <v>147</v>
      </c>
      <c r="B151" t="str">
        <f t="shared" si="8"/>
        <v>102</v>
      </c>
      <c r="C151" t="str">
        <f t="shared" si="7"/>
        <v>6</v>
      </c>
      <c r="D151" t="str">
        <f>"19"</f>
        <v>19</v>
      </c>
      <c r="E151" t="str">
        <f>"102-6-19"</f>
        <v>102-6-19</v>
      </c>
      <c r="F151" t="s">
        <v>18</v>
      </c>
      <c r="G151" t="s">
        <v>19</v>
      </c>
      <c r="H151">
        <v>2</v>
      </c>
      <c r="I151">
        <v>1</v>
      </c>
      <c r="J151">
        <v>1</v>
      </c>
      <c r="K151">
        <v>1</v>
      </c>
      <c r="L151">
        <v>0</v>
      </c>
      <c r="M151">
        <v>1</v>
      </c>
      <c r="N151">
        <v>0</v>
      </c>
      <c r="O151">
        <v>1</v>
      </c>
      <c r="P151">
        <v>0</v>
      </c>
    </row>
    <row r="152" spans="1:16" x14ac:dyDescent="0.25">
      <c r="A152" t="str">
        <f>"148"</f>
        <v>148</v>
      </c>
      <c r="B152" t="str">
        <f t="shared" si="8"/>
        <v>102</v>
      </c>
      <c r="C152" t="str">
        <f t="shared" si="7"/>
        <v>6</v>
      </c>
      <c r="D152" t="str">
        <f>"5"</f>
        <v>5</v>
      </c>
      <c r="E152" t="str">
        <f>"102-6-5"</f>
        <v>102-6-5</v>
      </c>
      <c r="F152" t="s">
        <v>18</v>
      </c>
      <c r="G152" t="s">
        <v>19</v>
      </c>
      <c r="H152">
        <v>2</v>
      </c>
      <c r="I152">
        <v>1</v>
      </c>
      <c r="J152">
        <v>1</v>
      </c>
      <c r="K152">
        <v>0</v>
      </c>
      <c r="L152">
        <v>1</v>
      </c>
      <c r="M152">
        <v>0</v>
      </c>
      <c r="N152">
        <v>1</v>
      </c>
      <c r="O152">
        <v>0</v>
      </c>
      <c r="P152">
        <v>1</v>
      </c>
    </row>
    <row r="153" spans="1:16" x14ac:dyDescent="0.25">
      <c r="A153" t="str">
        <f>"149"</f>
        <v>149</v>
      </c>
      <c r="B153" t="str">
        <f t="shared" si="8"/>
        <v>102</v>
      </c>
      <c r="C153" t="str">
        <f t="shared" si="7"/>
        <v>6</v>
      </c>
      <c r="D153" t="str">
        <f>"20"</f>
        <v>20</v>
      </c>
      <c r="E153" t="str">
        <f>"102-6-20"</f>
        <v>102-6-20</v>
      </c>
      <c r="F153" t="s">
        <v>18</v>
      </c>
      <c r="G153" t="s">
        <v>19</v>
      </c>
      <c r="H153">
        <v>2</v>
      </c>
      <c r="I153">
        <v>1</v>
      </c>
      <c r="J153">
        <v>1</v>
      </c>
      <c r="K153">
        <v>0</v>
      </c>
      <c r="L153">
        <v>1</v>
      </c>
      <c r="M153">
        <v>0</v>
      </c>
      <c r="N153">
        <v>1</v>
      </c>
      <c r="O153">
        <v>1</v>
      </c>
      <c r="P153">
        <v>0</v>
      </c>
    </row>
    <row r="154" spans="1:16" x14ac:dyDescent="0.25">
      <c r="A154" t="str">
        <f>"150"</f>
        <v>150</v>
      </c>
      <c r="B154" t="str">
        <f t="shared" si="8"/>
        <v>102</v>
      </c>
      <c r="C154" t="str">
        <f t="shared" si="7"/>
        <v>6</v>
      </c>
      <c r="D154" t="str">
        <f>"1"</f>
        <v>1</v>
      </c>
      <c r="E154" t="str">
        <f>"102-6-1"</f>
        <v>102-6-1</v>
      </c>
      <c r="F154" t="s">
        <v>18</v>
      </c>
      <c r="G154" t="s">
        <v>19</v>
      </c>
      <c r="H154">
        <v>2</v>
      </c>
      <c r="I154">
        <v>1</v>
      </c>
      <c r="J154">
        <v>1</v>
      </c>
      <c r="K154">
        <v>0</v>
      </c>
      <c r="L154">
        <v>1</v>
      </c>
      <c r="M154">
        <v>0</v>
      </c>
      <c r="N154">
        <v>1</v>
      </c>
      <c r="O154">
        <v>1</v>
      </c>
      <c r="P154">
        <v>0</v>
      </c>
    </row>
    <row r="155" spans="1:16" x14ac:dyDescent="0.25">
      <c r="A155" t="str">
        <f>"151"</f>
        <v>151</v>
      </c>
      <c r="B155" t="str">
        <f t="shared" si="8"/>
        <v>102</v>
      </c>
      <c r="C155" t="str">
        <f t="shared" ref="C155:C179" si="9">"7"</f>
        <v>7</v>
      </c>
      <c r="D155" t="str">
        <f>"22"</f>
        <v>22</v>
      </c>
      <c r="E155" t="str">
        <f>"102-7-22"</f>
        <v>102-7-22</v>
      </c>
      <c r="F155" t="s">
        <v>18</v>
      </c>
      <c r="G155" t="s">
        <v>20</v>
      </c>
      <c r="H155">
        <v>1</v>
      </c>
      <c r="K155">
        <v>0</v>
      </c>
      <c r="L155">
        <v>1</v>
      </c>
      <c r="M155">
        <v>0</v>
      </c>
      <c r="N155">
        <v>1</v>
      </c>
    </row>
    <row r="156" spans="1:16" x14ac:dyDescent="0.25">
      <c r="A156" t="str">
        <f>"152"</f>
        <v>152</v>
      </c>
      <c r="B156" t="str">
        <f t="shared" si="8"/>
        <v>102</v>
      </c>
      <c r="C156" t="str">
        <f t="shared" si="9"/>
        <v>7</v>
      </c>
      <c r="D156" t="str">
        <f>"11"</f>
        <v>11</v>
      </c>
      <c r="E156" t="str">
        <f>"102-7-11"</f>
        <v>102-7-11</v>
      </c>
      <c r="F156" t="s">
        <v>18</v>
      </c>
      <c r="G156" t="s">
        <v>20</v>
      </c>
      <c r="H156">
        <v>1</v>
      </c>
      <c r="K156">
        <v>0</v>
      </c>
      <c r="L156">
        <v>1</v>
      </c>
      <c r="M156">
        <v>0</v>
      </c>
      <c r="N156">
        <v>1</v>
      </c>
    </row>
    <row r="157" spans="1:16" x14ac:dyDescent="0.25">
      <c r="A157" t="str">
        <f>"153"</f>
        <v>153</v>
      </c>
      <c r="B157" t="str">
        <f t="shared" si="8"/>
        <v>102</v>
      </c>
      <c r="C157" t="str">
        <f t="shared" si="9"/>
        <v>7</v>
      </c>
      <c r="D157" t="str">
        <f>"1"</f>
        <v>1</v>
      </c>
      <c r="E157" t="str">
        <f>"102-7-1"</f>
        <v>102-7-1</v>
      </c>
      <c r="F157" t="s">
        <v>18</v>
      </c>
      <c r="G157" t="s">
        <v>20</v>
      </c>
      <c r="H157">
        <v>1</v>
      </c>
      <c r="K157">
        <v>1</v>
      </c>
      <c r="L157">
        <v>0</v>
      </c>
      <c r="M157">
        <v>1</v>
      </c>
      <c r="N157">
        <v>0</v>
      </c>
    </row>
    <row r="158" spans="1:16" x14ac:dyDescent="0.25">
      <c r="A158" t="str">
        <f>"154"</f>
        <v>154</v>
      </c>
      <c r="B158" t="str">
        <f t="shared" si="8"/>
        <v>102</v>
      </c>
      <c r="C158" t="str">
        <f t="shared" si="9"/>
        <v>7</v>
      </c>
      <c r="D158" t="str">
        <f>"23"</f>
        <v>23</v>
      </c>
      <c r="E158" t="str">
        <f>"102-7-23"</f>
        <v>102-7-23</v>
      </c>
      <c r="F158" t="s">
        <v>18</v>
      </c>
      <c r="G158" t="s">
        <v>20</v>
      </c>
      <c r="H158">
        <v>1</v>
      </c>
      <c r="K158">
        <v>0</v>
      </c>
      <c r="L158">
        <v>1</v>
      </c>
      <c r="M158">
        <v>0</v>
      </c>
      <c r="N158">
        <v>1</v>
      </c>
    </row>
    <row r="159" spans="1:16" x14ac:dyDescent="0.25">
      <c r="A159" t="str">
        <f>"155"</f>
        <v>155</v>
      </c>
      <c r="B159" t="str">
        <f t="shared" si="8"/>
        <v>102</v>
      </c>
      <c r="C159" t="str">
        <f t="shared" si="9"/>
        <v>7</v>
      </c>
      <c r="D159" t="str">
        <f>"12"</f>
        <v>12</v>
      </c>
      <c r="E159" t="str">
        <f>"102-7-12"</f>
        <v>102-7-12</v>
      </c>
      <c r="F159" t="s">
        <v>18</v>
      </c>
      <c r="G159" t="s">
        <v>20</v>
      </c>
      <c r="H159">
        <v>1</v>
      </c>
      <c r="K159">
        <v>0</v>
      </c>
      <c r="L159">
        <v>1</v>
      </c>
      <c r="M159">
        <v>0</v>
      </c>
      <c r="N159">
        <v>1</v>
      </c>
    </row>
    <row r="160" spans="1:16" x14ac:dyDescent="0.25">
      <c r="A160" t="str">
        <f>"156"</f>
        <v>156</v>
      </c>
      <c r="B160" t="str">
        <f t="shared" si="8"/>
        <v>102</v>
      </c>
      <c r="C160" t="str">
        <f t="shared" si="9"/>
        <v>7</v>
      </c>
      <c r="D160" t="str">
        <f>"8"</f>
        <v>8</v>
      </c>
      <c r="E160" t="str">
        <f>"102-7-8"</f>
        <v>102-7-8</v>
      </c>
      <c r="F160" t="s">
        <v>18</v>
      </c>
      <c r="G160" t="s">
        <v>20</v>
      </c>
      <c r="H160">
        <v>1</v>
      </c>
      <c r="K160">
        <v>0</v>
      </c>
      <c r="L160">
        <v>1</v>
      </c>
      <c r="M160">
        <v>0</v>
      </c>
      <c r="N160">
        <v>1</v>
      </c>
    </row>
    <row r="161" spans="1:14" x14ac:dyDescent="0.25">
      <c r="A161" t="str">
        <f>"157"</f>
        <v>157</v>
      </c>
      <c r="B161" t="str">
        <f t="shared" si="8"/>
        <v>102</v>
      </c>
      <c r="C161" t="str">
        <f t="shared" si="9"/>
        <v>7</v>
      </c>
      <c r="D161" t="str">
        <f>"21"</f>
        <v>21</v>
      </c>
      <c r="E161" t="str">
        <f>"102-7-21"</f>
        <v>102-7-21</v>
      </c>
      <c r="F161" t="s">
        <v>18</v>
      </c>
      <c r="G161" t="s">
        <v>20</v>
      </c>
      <c r="H161">
        <v>1</v>
      </c>
      <c r="K161">
        <v>0</v>
      </c>
      <c r="L161">
        <v>1</v>
      </c>
      <c r="M161">
        <v>0</v>
      </c>
      <c r="N161">
        <v>1</v>
      </c>
    </row>
    <row r="162" spans="1:14" x14ac:dyDescent="0.25">
      <c r="A162" t="str">
        <f>"158"</f>
        <v>158</v>
      </c>
      <c r="B162" t="str">
        <f t="shared" si="8"/>
        <v>102</v>
      </c>
      <c r="C162" t="str">
        <f t="shared" si="9"/>
        <v>7</v>
      </c>
      <c r="D162" t="str">
        <f>"13"</f>
        <v>13</v>
      </c>
      <c r="E162" t="str">
        <f>"102-7-13"</f>
        <v>102-7-13</v>
      </c>
      <c r="F162" t="s">
        <v>18</v>
      </c>
      <c r="G162" t="s">
        <v>20</v>
      </c>
      <c r="H162">
        <v>1</v>
      </c>
      <c r="K162">
        <v>0</v>
      </c>
      <c r="L162">
        <v>1</v>
      </c>
      <c r="M162">
        <v>0</v>
      </c>
      <c r="N162">
        <v>1</v>
      </c>
    </row>
    <row r="163" spans="1:14" x14ac:dyDescent="0.25">
      <c r="A163" t="str">
        <f>"159"</f>
        <v>159</v>
      </c>
      <c r="B163" t="str">
        <f t="shared" si="8"/>
        <v>102</v>
      </c>
      <c r="C163" t="str">
        <f t="shared" si="9"/>
        <v>7</v>
      </c>
      <c r="D163" t="str">
        <f>"7"</f>
        <v>7</v>
      </c>
      <c r="E163" t="str">
        <f>"102-7-7"</f>
        <v>102-7-7</v>
      </c>
      <c r="F163" t="s">
        <v>18</v>
      </c>
      <c r="G163" t="s">
        <v>20</v>
      </c>
      <c r="H163">
        <v>1</v>
      </c>
      <c r="K163">
        <v>0</v>
      </c>
      <c r="L163">
        <v>1</v>
      </c>
      <c r="M163">
        <v>0</v>
      </c>
      <c r="N163">
        <v>1</v>
      </c>
    </row>
    <row r="164" spans="1:14" x14ac:dyDescent="0.25">
      <c r="A164" t="str">
        <f>"160"</f>
        <v>160</v>
      </c>
      <c r="B164" t="str">
        <f t="shared" si="8"/>
        <v>102</v>
      </c>
      <c r="C164" t="str">
        <f t="shared" si="9"/>
        <v>7</v>
      </c>
      <c r="D164" t="str">
        <f>"14"</f>
        <v>14</v>
      </c>
      <c r="E164" t="str">
        <f>"102-7-14"</f>
        <v>102-7-14</v>
      </c>
      <c r="F164" t="s">
        <v>18</v>
      </c>
      <c r="G164" t="s">
        <v>20</v>
      </c>
      <c r="H164">
        <v>1</v>
      </c>
      <c r="K164">
        <v>0</v>
      </c>
      <c r="L164">
        <v>1</v>
      </c>
      <c r="M164">
        <v>0</v>
      </c>
      <c r="N164">
        <v>1</v>
      </c>
    </row>
    <row r="165" spans="1:14" x14ac:dyDescent="0.25">
      <c r="A165" t="str">
        <f>"161"</f>
        <v>161</v>
      </c>
      <c r="B165" t="str">
        <f t="shared" si="8"/>
        <v>102</v>
      </c>
      <c r="C165" t="str">
        <f t="shared" si="9"/>
        <v>7</v>
      </c>
      <c r="D165" t="str">
        <f>"10"</f>
        <v>10</v>
      </c>
      <c r="E165" t="str">
        <f>"102-7-10"</f>
        <v>102-7-10</v>
      </c>
      <c r="F165" t="s">
        <v>18</v>
      </c>
      <c r="G165" t="s">
        <v>20</v>
      </c>
      <c r="H165">
        <v>1</v>
      </c>
      <c r="K165">
        <v>0</v>
      </c>
      <c r="L165">
        <v>1</v>
      </c>
      <c r="M165">
        <v>0</v>
      </c>
      <c r="N165">
        <v>1</v>
      </c>
    </row>
    <row r="166" spans="1:14" x14ac:dyDescent="0.25">
      <c r="A166" t="str">
        <f>"162"</f>
        <v>162</v>
      </c>
      <c r="B166" t="str">
        <f t="shared" si="8"/>
        <v>102</v>
      </c>
      <c r="C166" t="str">
        <f t="shared" si="9"/>
        <v>7</v>
      </c>
      <c r="D166" t="str">
        <f>"24"</f>
        <v>24</v>
      </c>
      <c r="E166" t="str">
        <f>"102-7-24"</f>
        <v>102-7-24</v>
      </c>
      <c r="F166" t="s">
        <v>18</v>
      </c>
      <c r="G166" t="s">
        <v>20</v>
      </c>
      <c r="H166">
        <v>1</v>
      </c>
      <c r="K166">
        <v>0</v>
      </c>
      <c r="L166">
        <v>1</v>
      </c>
      <c r="M166">
        <v>0</v>
      </c>
      <c r="N166">
        <v>1</v>
      </c>
    </row>
    <row r="167" spans="1:14" x14ac:dyDescent="0.25">
      <c r="A167" t="str">
        <f>"163"</f>
        <v>163</v>
      </c>
      <c r="B167" t="str">
        <f t="shared" si="8"/>
        <v>102</v>
      </c>
      <c r="C167" t="str">
        <f t="shared" si="9"/>
        <v>7</v>
      </c>
      <c r="D167" t="str">
        <f>"15"</f>
        <v>15</v>
      </c>
      <c r="E167" t="str">
        <f>"102-7-15"</f>
        <v>102-7-15</v>
      </c>
      <c r="F167" t="s">
        <v>18</v>
      </c>
      <c r="G167" t="s">
        <v>20</v>
      </c>
      <c r="H167">
        <v>1</v>
      </c>
      <c r="K167">
        <v>1</v>
      </c>
      <c r="L167">
        <v>0</v>
      </c>
      <c r="M167">
        <v>1</v>
      </c>
      <c r="N167">
        <v>0</v>
      </c>
    </row>
    <row r="168" spans="1:14" x14ac:dyDescent="0.25">
      <c r="A168" t="str">
        <f>"164"</f>
        <v>164</v>
      </c>
      <c r="B168" t="str">
        <f t="shared" si="8"/>
        <v>102</v>
      </c>
      <c r="C168" t="str">
        <f t="shared" si="9"/>
        <v>7</v>
      </c>
      <c r="D168" t="str">
        <f>"9"</f>
        <v>9</v>
      </c>
      <c r="E168" t="str">
        <f>"102-7-9"</f>
        <v>102-7-9</v>
      </c>
      <c r="F168" t="s">
        <v>18</v>
      </c>
      <c r="G168" t="s">
        <v>20</v>
      </c>
      <c r="H168">
        <v>1</v>
      </c>
      <c r="K168">
        <v>1</v>
      </c>
      <c r="L168">
        <v>0</v>
      </c>
      <c r="M168">
        <v>1</v>
      </c>
      <c r="N168">
        <v>0</v>
      </c>
    </row>
    <row r="169" spans="1:14" x14ac:dyDescent="0.25">
      <c r="A169" t="str">
        <f>"165"</f>
        <v>165</v>
      </c>
      <c r="B169" t="str">
        <f t="shared" si="8"/>
        <v>102</v>
      </c>
      <c r="C169" t="str">
        <f t="shared" si="9"/>
        <v>7</v>
      </c>
      <c r="D169" t="str">
        <f>"16"</f>
        <v>16</v>
      </c>
      <c r="E169" t="str">
        <f>"102-7-16"</f>
        <v>102-7-16</v>
      </c>
      <c r="F169" t="s">
        <v>18</v>
      </c>
      <c r="G169" t="s">
        <v>20</v>
      </c>
      <c r="H169">
        <v>1</v>
      </c>
      <c r="K169">
        <v>1</v>
      </c>
      <c r="L169">
        <v>0</v>
      </c>
      <c r="M169">
        <v>1</v>
      </c>
      <c r="N169">
        <v>0</v>
      </c>
    </row>
    <row r="170" spans="1:14" x14ac:dyDescent="0.25">
      <c r="A170" t="str">
        <f>"166"</f>
        <v>166</v>
      </c>
      <c r="B170" t="str">
        <f t="shared" si="8"/>
        <v>102</v>
      </c>
      <c r="C170" t="str">
        <f t="shared" si="9"/>
        <v>7</v>
      </c>
      <c r="D170" t="str">
        <f>"5"</f>
        <v>5</v>
      </c>
      <c r="E170" t="str">
        <f>"102-7-5"</f>
        <v>102-7-5</v>
      </c>
      <c r="F170" t="s">
        <v>18</v>
      </c>
      <c r="G170" t="s">
        <v>20</v>
      </c>
      <c r="H170">
        <v>1</v>
      </c>
      <c r="K170">
        <v>1</v>
      </c>
      <c r="L170">
        <v>0</v>
      </c>
      <c r="M170">
        <v>1</v>
      </c>
      <c r="N170">
        <v>0</v>
      </c>
    </row>
    <row r="171" spans="1:14" x14ac:dyDescent="0.25">
      <c r="A171" t="str">
        <f>"167"</f>
        <v>167</v>
      </c>
      <c r="B171" t="str">
        <f t="shared" si="8"/>
        <v>102</v>
      </c>
      <c r="C171" t="str">
        <f t="shared" si="9"/>
        <v>7</v>
      </c>
      <c r="D171" t="str">
        <f>"25"</f>
        <v>25</v>
      </c>
      <c r="E171" t="str">
        <f>"102-7-25"</f>
        <v>102-7-25</v>
      </c>
      <c r="F171" t="s">
        <v>18</v>
      </c>
      <c r="G171" t="s">
        <v>20</v>
      </c>
      <c r="H171">
        <v>1</v>
      </c>
      <c r="K171">
        <v>1</v>
      </c>
      <c r="L171">
        <v>0</v>
      </c>
      <c r="M171">
        <v>1</v>
      </c>
      <c r="N171">
        <v>0</v>
      </c>
    </row>
    <row r="172" spans="1:14" x14ac:dyDescent="0.25">
      <c r="A172" t="str">
        <f>"168"</f>
        <v>168</v>
      </c>
      <c r="B172" t="str">
        <f t="shared" si="8"/>
        <v>102</v>
      </c>
      <c r="C172" t="str">
        <f t="shared" si="9"/>
        <v>7</v>
      </c>
      <c r="D172" t="str">
        <f>"17"</f>
        <v>17</v>
      </c>
      <c r="E172" t="str">
        <f>"102-7-17"</f>
        <v>102-7-17</v>
      </c>
      <c r="F172" t="s">
        <v>18</v>
      </c>
      <c r="G172" t="s">
        <v>20</v>
      </c>
      <c r="H172">
        <v>1</v>
      </c>
      <c r="K172">
        <v>0</v>
      </c>
      <c r="L172">
        <v>1</v>
      </c>
      <c r="M172">
        <v>0</v>
      </c>
      <c r="N172">
        <v>1</v>
      </c>
    </row>
    <row r="173" spans="1:14" x14ac:dyDescent="0.25">
      <c r="A173" t="str">
        <f>"169"</f>
        <v>169</v>
      </c>
      <c r="B173" t="str">
        <f t="shared" si="8"/>
        <v>102</v>
      </c>
      <c r="C173" t="str">
        <f t="shared" si="9"/>
        <v>7</v>
      </c>
      <c r="D173" t="str">
        <f>"2"</f>
        <v>2</v>
      </c>
      <c r="E173" t="str">
        <f>"102-7-2"</f>
        <v>102-7-2</v>
      </c>
      <c r="F173" t="s">
        <v>18</v>
      </c>
      <c r="G173" t="s">
        <v>20</v>
      </c>
      <c r="H173">
        <v>1</v>
      </c>
      <c r="K173">
        <v>0</v>
      </c>
      <c r="L173">
        <v>1</v>
      </c>
      <c r="M173">
        <v>0</v>
      </c>
      <c r="N173">
        <v>1</v>
      </c>
    </row>
    <row r="174" spans="1:14" x14ac:dyDescent="0.25">
      <c r="A174" t="str">
        <f>"170"</f>
        <v>170</v>
      </c>
      <c r="B174" t="str">
        <f t="shared" si="8"/>
        <v>102</v>
      </c>
      <c r="C174" t="str">
        <f t="shared" si="9"/>
        <v>7</v>
      </c>
      <c r="D174" t="str">
        <f>"18"</f>
        <v>18</v>
      </c>
      <c r="E174" t="str">
        <f>"102-7-18"</f>
        <v>102-7-18</v>
      </c>
      <c r="F174" t="s">
        <v>18</v>
      </c>
      <c r="G174" t="s">
        <v>20</v>
      </c>
      <c r="H174">
        <v>1</v>
      </c>
      <c r="K174">
        <v>0</v>
      </c>
      <c r="L174">
        <v>1</v>
      </c>
      <c r="M174">
        <v>0</v>
      </c>
      <c r="N174">
        <v>1</v>
      </c>
    </row>
    <row r="175" spans="1:14" x14ac:dyDescent="0.25">
      <c r="A175" t="str">
        <f>"171"</f>
        <v>171</v>
      </c>
      <c r="B175" t="str">
        <f t="shared" si="8"/>
        <v>102</v>
      </c>
      <c r="C175" t="str">
        <f t="shared" si="9"/>
        <v>7</v>
      </c>
      <c r="D175" t="str">
        <f>"6"</f>
        <v>6</v>
      </c>
      <c r="E175" t="str">
        <f>"102-7-6"</f>
        <v>102-7-6</v>
      </c>
      <c r="F175" t="s">
        <v>18</v>
      </c>
      <c r="G175" t="s">
        <v>20</v>
      </c>
      <c r="H175">
        <v>1</v>
      </c>
      <c r="K175">
        <v>1</v>
      </c>
      <c r="L175">
        <v>0</v>
      </c>
      <c r="M175">
        <v>1</v>
      </c>
      <c r="N175">
        <v>0</v>
      </c>
    </row>
    <row r="176" spans="1:14" x14ac:dyDescent="0.25">
      <c r="A176" t="str">
        <f>"172"</f>
        <v>172</v>
      </c>
      <c r="B176" t="str">
        <f t="shared" si="8"/>
        <v>102</v>
      </c>
      <c r="C176" t="str">
        <f t="shared" si="9"/>
        <v>7</v>
      </c>
      <c r="D176" t="str">
        <f>"19"</f>
        <v>19</v>
      </c>
      <c r="E176" t="str">
        <f>"102-7-19"</f>
        <v>102-7-19</v>
      </c>
      <c r="F176" t="s">
        <v>18</v>
      </c>
      <c r="G176" t="s">
        <v>20</v>
      </c>
      <c r="H176">
        <v>1</v>
      </c>
      <c r="K176">
        <v>0</v>
      </c>
      <c r="L176">
        <v>1</v>
      </c>
      <c r="M176">
        <v>0</v>
      </c>
      <c r="N176">
        <v>1</v>
      </c>
    </row>
    <row r="177" spans="1:16" x14ac:dyDescent="0.25">
      <c r="A177" t="str">
        <f>"173"</f>
        <v>173</v>
      </c>
      <c r="B177" t="str">
        <f t="shared" si="8"/>
        <v>102</v>
      </c>
      <c r="C177" t="str">
        <f t="shared" si="9"/>
        <v>7</v>
      </c>
      <c r="D177" t="str">
        <f>"4"</f>
        <v>4</v>
      </c>
      <c r="E177" t="str">
        <f>"102-7-4"</f>
        <v>102-7-4</v>
      </c>
      <c r="F177" t="s">
        <v>18</v>
      </c>
      <c r="G177" t="s">
        <v>19</v>
      </c>
      <c r="H177">
        <v>2</v>
      </c>
      <c r="I177">
        <v>1</v>
      </c>
      <c r="J177">
        <v>1</v>
      </c>
      <c r="K177">
        <v>0</v>
      </c>
      <c r="L177">
        <v>1</v>
      </c>
      <c r="M177">
        <v>0</v>
      </c>
      <c r="N177">
        <v>1</v>
      </c>
      <c r="O177">
        <v>0</v>
      </c>
      <c r="P177">
        <v>0</v>
      </c>
    </row>
    <row r="178" spans="1:16" x14ac:dyDescent="0.25">
      <c r="A178" t="str">
        <f>"174"</f>
        <v>174</v>
      </c>
      <c r="B178" t="str">
        <f t="shared" si="8"/>
        <v>102</v>
      </c>
      <c r="C178" t="str">
        <f t="shared" si="9"/>
        <v>7</v>
      </c>
      <c r="D178" t="str">
        <f>"20"</f>
        <v>20</v>
      </c>
      <c r="E178" t="str">
        <f>"102-7-20"</f>
        <v>102-7-20</v>
      </c>
      <c r="F178" t="s">
        <v>18</v>
      </c>
      <c r="G178" t="s">
        <v>20</v>
      </c>
      <c r="H178">
        <v>1</v>
      </c>
      <c r="K178">
        <v>1</v>
      </c>
      <c r="L178">
        <v>0</v>
      </c>
      <c r="M178">
        <v>1</v>
      </c>
      <c r="N178">
        <v>0</v>
      </c>
    </row>
    <row r="179" spans="1:16" x14ac:dyDescent="0.25">
      <c r="A179" t="str">
        <f>"175"</f>
        <v>175</v>
      </c>
      <c r="B179" t="str">
        <f t="shared" si="8"/>
        <v>102</v>
      </c>
      <c r="C179" t="str">
        <f t="shared" si="9"/>
        <v>7</v>
      </c>
      <c r="D179" t="str">
        <f>"3"</f>
        <v>3</v>
      </c>
      <c r="E179" t="str">
        <f>"102-7-3"</f>
        <v>102-7-3</v>
      </c>
      <c r="F179" t="s">
        <v>18</v>
      </c>
      <c r="G179" t="s">
        <v>19</v>
      </c>
      <c r="H179">
        <v>2</v>
      </c>
      <c r="I179">
        <v>1</v>
      </c>
      <c r="J179">
        <v>1</v>
      </c>
      <c r="K179">
        <v>0</v>
      </c>
      <c r="L179">
        <v>1</v>
      </c>
      <c r="M179">
        <v>0</v>
      </c>
      <c r="N179">
        <v>1</v>
      </c>
      <c r="O179">
        <v>0</v>
      </c>
      <c r="P179">
        <v>0</v>
      </c>
    </row>
    <row r="180" spans="1:16" x14ac:dyDescent="0.25">
      <c r="A180" t="str">
        <f>"176"</f>
        <v>176</v>
      </c>
      <c r="B180" t="str">
        <f t="shared" si="8"/>
        <v>102</v>
      </c>
      <c r="C180" t="str">
        <f t="shared" ref="C180:C204" si="10">"8"</f>
        <v>8</v>
      </c>
      <c r="D180" t="str">
        <f>"22"</f>
        <v>22</v>
      </c>
      <c r="E180" t="str">
        <f>"102-8-22"</f>
        <v>102-8-22</v>
      </c>
      <c r="F180" t="s">
        <v>18</v>
      </c>
      <c r="G180" t="s">
        <v>19</v>
      </c>
      <c r="H180">
        <v>2</v>
      </c>
      <c r="I180">
        <v>0</v>
      </c>
      <c r="J180">
        <v>0</v>
      </c>
      <c r="K180">
        <v>0</v>
      </c>
      <c r="L180">
        <v>1</v>
      </c>
      <c r="M180">
        <v>0</v>
      </c>
      <c r="N180">
        <v>1</v>
      </c>
      <c r="O180">
        <v>0</v>
      </c>
      <c r="P180">
        <v>1</v>
      </c>
    </row>
    <row r="181" spans="1:16" x14ac:dyDescent="0.25">
      <c r="A181" t="str">
        <f>"177"</f>
        <v>177</v>
      </c>
      <c r="B181" t="str">
        <f t="shared" si="8"/>
        <v>102</v>
      </c>
      <c r="C181" t="str">
        <f t="shared" si="10"/>
        <v>8</v>
      </c>
      <c r="D181" t="str">
        <f>"11"</f>
        <v>11</v>
      </c>
      <c r="E181" t="str">
        <f>"102-8-11"</f>
        <v>102-8-11</v>
      </c>
      <c r="F181" t="s">
        <v>18</v>
      </c>
      <c r="G181" t="s">
        <v>19</v>
      </c>
      <c r="H181">
        <v>2</v>
      </c>
      <c r="I181">
        <v>0</v>
      </c>
      <c r="J181">
        <v>1</v>
      </c>
      <c r="K181">
        <v>0</v>
      </c>
      <c r="L181">
        <v>1</v>
      </c>
      <c r="M181">
        <v>0</v>
      </c>
      <c r="N181">
        <v>1</v>
      </c>
      <c r="O181">
        <v>1</v>
      </c>
      <c r="P181">
        <v>0</v>
      </c>
    </row>
    <row r="182" spans="1:16" x14ac:dyDescent="0.25">
      <c r="A182" t="str">
        <f>"178"</f>
        <v>178</v>
      </c>
      <c r="B182" t="str">
        <f t="shared" si="8"/>
        <v>102</v>
      </c>
      <c r="C182" t="str">
        <f t="shared" si="10"/>
        <v>8</v>
      </c>
      <c r="D182" t="str">
        <f>"1"</f>
        <v>1</v>
      </c>
      <c r="E182" t="str">
        <f>"102-8-1"</f>
        <v>102-8-1</v>
      </c>
      <c r="F182" t="s">
        <v>18</v>
      </c>
      <c r="G182" t="s">
        <v>20</v>
      </c>
      <c r="H182">
        <v>1</v>
      </c>
      <c r="K182">
        <v>1</v>
      </c>
      <c r="L182">
        <v>0</v>
      </c>
      <c r="M182">
        <v>1</v>
      </c>
      <c r="N182">
        <v>0</v>
      </c>
    </row>
    <row r="183" spans="1:16" x14ac:dyDescent="0.25">
      <c r="A183" t="str">
        <f>"179"</f>
        <v>179</v>
      </c>
      <c r="B183" t="str">
        <f t="shared" si="8"/>
        <v>102</v>
      </c>
      <c r="C183" t="str">
        <f t="shared" si="10"/>
        <v>8</v>
      </c>
      <c r="D183" t="str">
        <f>"21"</f>
        <v>21</v>
      </c>
      <c r="E183" t="str">
        <f>"102-8-21"</f>
        <v>102-8-21</v>
      </c>
      <c r="F183" t="s">
        <v>18</v>
      </c>
      <c r="G183" t="s">
        <v>19</v>
      </c>
      <c r="H183">
        <v>2</v>
      </c>
      <c r="I183">
        <v>0</v>
      </c>
      <c r="J183">
        <v>0</v>
      </c>
      <c r="K183">
        <v>0</v>
      </c>
      <c r="L183">
        <v>1</v>
      </c>
      <c r="M183">
        <v>0</v>
      </c>
      <c r="N183">
        <v>1</v>
      </c>
      <c r="O183">
        <v>0</v>
      </c>
      <c r="P183">
        <v>1</v>
      </c>
    </row>
    <row r="184" spans="1:16" x14ac:dyDescent="0.25">
      <c r="A184" t="str">
        <f>"180"</f>
        <v>180</v>
      </c>
      <c r="B184" t="str">
        <f t="shared" si="8"/>
        <v>102</v>
      </c>
      <c r="C184" t="str">
        <f t="shared" si="10"/>
        <v>8</v>
      </c>
      <c r="D184" t="str">
        <f>"12"</f>
        <v>12</v>
      </c>
      <c r="E184" t="str">
        <f>"102-8-12"</f>
        <v>102-8-12</v>
      </c>
      <c r="F184" t="s">
        <v>18</v>
      </c>
      <c r="G184" t="s">
        <v>19</v>
      </c>
      <c r="H184">
        <v>2</v>
      </c>
      <c r="I184">
        <v>1</v>
      </c>
      <c r="J184">
        <v>1</v>
      </c>
      <c r="K184">
        <v>0</v>
      </c>
      <c r="L184">
        <v>1</v>
      </c>
      <c r="M184">
        <v>0</v>
      </c>
      <c r="N184">
        <v>1</v>
      </c>
      <c r="O184">
        <v>0</v>
      </c>
      <c r="P184">
        <v>1</v>
      </c>
    </row>
    <row r="185" spans="1:16" x14ac:dyDescent="0.25">
      <c r="A185" t="str">
        <f>"181"</f>
        <v>181</v>
      </c>
      <c r="B185" t="str">
        <f t="shared" si="8"/>
        <v>102</v>
      </c>
      <c r="C185" t="str">
        <f t="shared" si="10"/>
        <v>8</v>
      </c>
      <c r="D185" t="str">
        <f>"6"</f>
        <v>6</v>
      </c>
      <c r="E185" t="str">
        <f>"102-8-6"</f>
        <v>102-8-6</v>
      </c>
      <c r="F185" t="s">
        <v>18</v>
      </c>
      <c r="G185" t="s">
        <v>20</v>
      </c>
      <c r="H185">
        <v>1</v>
      </c>
      <c r="K185">
        <v>1</v>
      </c>
      <c r="L185">
        <v>0</v>
      </c>
      <c r="M185">
        <v>1</v>
      </c>
      <c r="N185">
        <v>0</v>
      </c>
    </row>
    <row r="186" spans="1:16" x14ac:dyDescent="0.25">
      <c r="A186" t="str">
        <f>"182"</f>
        <v>182</v>
      </c>
      <c r="B186" t="str">
        <f t="shared" si="8"/>
        <v>102</v>
      </c>
      <c r="C186" t="str">
        <f t="shared" si="10"/>
        <v>8</v>
      </c>
      <c r="D186" t="str">
        <f>"25"</f>
        <v>25</v>
      </c>
      <c r="E186" t="str">
        <f>"102-8-25"</f>
        <v>102-8-25</v>
      </c>
      <c r="F186" t="s">
        <v>18</v>
      </c>
      <c r="G186" t="s">
        <v>19</v>
      </c>
      <c r="H186">
        <v>2</v>
      </c>
      <c r="I186">
        <v>0</v>
      </c>
      <c r="J186">
        <v>0</v>
      </c>
      <c r="K186">
        <v>1</v>
      </c>
      <c r="L186">
        <v>0</v>
      </c>
      <c r="M186">
        <v>1</v>
      </c>
      <c r="N186">
        <v>0</v>
      </c>
      <c r="O186">
        <v>1</v>
      </c>
      <c r="P186">
        <v>0</v>
      </c>
    </row>
    <row r="187" spans="1:16" x14ac:dyDescent="0.25">
      <c r="A187" t="str">
        <f>"183"</f>
        <v>183</v>
      </c>
      <c r="B187" t="str">
        <f t="shared" si="8"/>
        <v>102</v>
      </c>
      <c r="C187" t="str">
        <f t="shared" si="10"/>
        <v>8</v>
      </c>
      <c r="D187" t="str">
        <f>"13"</f>
        <v>13</v>
      </c>
      <c r="E187" t="str">
        <f>"102-8-13"</f>
        <v>102-8-13</v>
      </c>
      <c r="F187" t="s">
        <v>18</v>
      </c>
      <c r="G187" t="s">
        <v>19</v>
      </c>
      <c r="H187">
        <v>2</v>
      </c>
      <c r="I187">
        <v>0</v>
      </c>
      <c r="J187">
        <v>0</v>
      </c>
      <c r="K187">
        <v>0</v>
      </c>
      <c r="L187">
        <v>1</v>
      </c>
      <c r="M187">
        <v>0</v>
      </c>
      <c r="N187">
        <v>1</v>
      </c>
      <c r="O187">
        <v>0</v>
      </c>
      <c r="P187">
        <v>0</v>
      </c>
    </row>
    <row r="188" spans="1:16" x14ac:dyDescent="0.25">
      <c r="A188" t="str">
        <f>"184"</f>
        <v>184</v>
      </c>
      <c r="B188" t="str">
        <f t="shared" si="8"/>
        <v>102</v>
      </c>
      <c r="C188" t="str">
        <f t="shared" si="10"/>
        <v>8</v>
      </c>
      <c r="D188" t="str">
        <f>"4"</f>
        <v>4</v>
      </c>
      <c r="E188" t="str">
        <f>"102-8-4"</f>
        <v>102-8-4</v>
      </c>
      <c r="F188" t="s">
        <v>18</v>
      </c>
      <c r="G188" t="s">
        <v>20</v>
      </c>
      <c r="H188">
        <v>1</v>
      </c>
      <c r="K188">
        <v>1</v>
      </c>
      <c r="L188">
        <v>0</v>
      </c>
      <c r="M188">
        <v>1</v>
      </c>
      <c r="N188">
        <v>0</v>
      </c>
    </row>
    <row r="189" spans="1:16" x14ac:dyDescent="0.25">
      <c r="A189" t="str">
        <f>"185"</f>
        <v>185</v>
      </c>
      <c r="B189" t="str">
        <f t="shared" si="8"/>
        <v>102</v>
      </c>
      <c r="C189" t="str">
        <f t="shared" si="10"/>
        <v>8</v>
      </c>
      <c r="D189" t="str">
        <f>"23"</f>
        <v>23</v>
      </c>
      <c r="E189" t="str">
        <f>"102-8-23"</f>
        <v>102-8-23</v>
      </c>
      <c r="F189" t="s">
        <v>18</v>
      </c>
      <c r="G189" t="s">
        <v>19</v>
      </c>
      <c r="H189">
        <v>2</v>
      </c>
      <c r="I189">
        <v>1</v>
      </c>
      <c r="J189">
        <v>1</v>
      </c>
      <c r="K189">
        <v>0</v>
      </c>
      <c r="L189">
        <v>1</v>
      </c>
      <c r="M189">
        <v>0</v>
      </c>
      <c r="N189">
        <v>1</v>
      </c>
      <c r="O189">
        <v>1</v>
      </c>
      <c r="P189">
        <v>0</v>
      </c>
    </row>
    <row r="190" spans="1:16" x14ac:dyDescent="0.25">
      <c r="A190" t="str">
        <f>"186"</f>
        <v>186</v>
      </c>
      <c r="B190" t="str">
        <f t="shared" si="8"/>
        <v>102</v>
      </c>
      <c r="C190" t="str">
        <f t="shared" si="10"/>
        <v>8</v>
      </c>
      <c r="D190" t="str">
        <f>"14"</f>
        <v>14</v>
      </c>
      <c r="E190" t="str">
        <f>"102-8-14"</f>
        <v>102-8-14</v>
      </c>
      <c r="F190" t="s">
        <v>18</v>
      </c>
      <c r="G190" t="s">
        <v>19</v>
      </c>
      <c r="H190">
        <v>2</v>
      </c>
      <c r="I190">
        <v>1</v>
      </c>
      <c r="J190">
        <v>1</v>
      </c>
      <c r="K190">
        <v>0</v>
      </c>
      <c r="L190">
        <v>1</v>
      </c>
      <c r="M190">
        <v>0</v>
      </c>
      <c r="N190">
        <v>1</v>
      </c>
      <c r="O190">
        <v>0</v>
      </c>
      <c r="P190">
        <v>1</v>
      </c>
    </row>
    <row r="191" spans="1:16" x14ac:dyDescent="0.25">
      <c r="A191" t="str">
        <f>"187"</f>
        <v>187</v>
      </c>
      <c r="B191" t="str">
        <f t="shared" si="8"/>
        <v>102</v>
      </c>
      <c r="C191" t="str">
        <f t="shared" si="10"/>
        <v>8</v>
      </c>
      <c r="D191" t="str">
        <f>"3"</f>
        <v>3</v>
      </c>
      <c r="E191" t="str">
        <f>"102-8-3"</f>
        <v>102-8-3</v>
      </c>
      <c r="F191" t="s">
        <v>18</v>
      </c>
      <c r="G191" t="s">
        <v>20</v>
      </c>
      <c r="H191">
        <v>1</v>
      </c>
      <c r="K191">
        <v>0</v>
      </c>
      <c r="L191">
        <v>1</v>
      </c>
      <c r="M191">
        <v>0</v>
      </c>
      <c r="N191">
        <v>1</v>
      </c>
    </row>
    <row r="192" spans="1:16" x14ac:dyDescent="0.25">
      <c r="A192" t="str">
        <f>"188"</f>
        <v>188</v>
      </c>
      <c r="B192" t="str">
        <f t="shared" si="8"/>
        <v>102</v>
      </c>
      <c r="C192" t="str">
        <f t="shared" si="10"/>
        <v>8</v>
      </c>
      <c r="D192" t="str">
        <f>"24"</f>
        <v>24</v>
      </c>
      <c r="E192" t="str">
        <f>"102-8-24"</f>
        <v>102-8-24</v>
      </c>
      <c r="F192" t="s">
        <v>18</v>
      </c>
      <c r="G192" t="s">
        <v>19</v>
      </c>
      <c r="H192">
        <v>2</v>
      </c>
      <c r="I192">
        <v>1</v>
      </c>
      <c r="J192">
        <v>1</v>
      </c>
      <c r="K192">
        <v>0</v>
      </c>
      <c r="L192">
        <v>1</v>
      </c>
      <c r="M192">
        <v>0</v>
      </c>
      <c r="N192">
        <v>1</v>
      </c>
      <c r="O192">
        <v>1</v>
      </c>
      <c r="P192">
        <v>0</v>
      </c>
    </row>
    <row r="193" spans="1:16" x14ac:dyDescent="0.25">
      <c r="A193" t="str">
        <f>"189"</f>
        <v>189</v>
      </c>
      <c r="B193" t="str">
        <f t="shared" si="8"/>
        <v>102</v>
      </c>
      <c r="C193" t="str">
        <f t="shared" si="10"/>
        <v>8</v>
      </c>
      <c r="D193" t="str">
        <f>"15"</f>
        <v>15</v>
      </c>
      <c r="E193" t="str">
        <f>"102-8-15"</f>
        <v>102-8-15</v>
      </c>
      <c r="F193" t="s">
        <v>18</v>
      </c>
      <c r="G193" t="s">
        <v>19</v>
      </c>
      <c r="H193">
        <v>2</v>
      </c>
      <c r="I193">
        <v>1</v>
      </c>
      <c r="J193">
        <v>1</v>
      </c>
      <c r="K193">
        <v>1</v>
      </c>
      <c r="L193">
        <v>0</v>
      </c>
      <c r="M193">
        <v>1</v>
      </c>
      <c r="N193">
        <v>0</v>
      </c>
      <c r="O193">
        <v>0</v>
      </c>
      <c r="P193">
        <v>1</v>
      </c>
    </row>
    <row r="194" spans="1:16" x14ac:dyDescent="0.25">
      <c r="A194" t="str">
        <f>"190"</f>
        <v>190</v>
      </c>
      <c r="B194" t="str">
        <f t="shared" si="8"/>
        <v>102</v>
      </c>
      <c r="C194" t="str">
        <f t="shared" si="10"/>
        <v>8</v>
      </c>
      <c r="D194" t="str">
        <f>"5"</f>
        <v>5</v>
      </c>
      <c r="E194" t="str">
        <f>"102-8-5"</f>
        <v>102-8-5</v>
      </c>
      <c r="F194" t="s">
        <v>18</v>
      </c>
      <c r="G194" t="s">
        <v>20</v>
      </c>
      <c r="H194">
        <v>1</v>
      </c>
      <c r="K194">
        <v>1</v>
      </c>
      <c r="L194">
        <v>0</v>
      </c>
      <c r="M194">
        <v>0</v>
      </c>
      <c r="N194">
        <v>1</v>
      </c>
    </row>
    <row r="195" spans="1:16" x14ac:dyDescent="0.25">
      <c r="A195" t="str">
        <f>"191"</f>
        <v>191</v>
      </c>
      <c r="B195" t="str">
        <f t="shared" si="8"/>
        <v>102</v>
      </c>
      <c r="C195" t="str">
        <f t="shared" si="10"/>
        <v>8</v>
      </c>
      <c r="D195" t="str">
        <f>"16"</f>
        <v>16</v>
      </c>
      <c r="E195" t="str">
        <f>"102-8-16"</f>
        <v>102-8-16</v>
      </c>
      <c r="F195" t="s">
        <v>18</v>
      </c>
      <c r="G195" t="s">
        <v>19</v>
      </c>
      <c r="H195">
        <v>2</v>
      </c>
      <c r="I195">
        <v>0</v>
      </c>
      <c r="J195">
        <v>1</v>
      </c>
      <c r="K195">
        <v>1</v>
      </c>
      <c r="L195">
        <v>0</v>
      </c>
      <c r="M195">
        <v>1</v>
      </c>
      <c r="N195">
        <v>0</v>
      </c>
      <c r="O195">
        <v>1</v>
      </c>
      <c r="P195">
        <v>0</v>
      </c>
    </row>
    <row r="196" spans="1:16" x14ac:dyDescent="0.25">
      <c r="A196" t="str">
        <f>"192"</f>
        <v>192</v>
      </c>
      <c r="B196" t="str">
        <f t="shared" si="8"/>
        <v>102</v>
      </c>
      <c r="C196" t="str">
        <f t="shared" si="10"/>
        <v>8</v>
      </c>
      <c r="D196" t="str">
        <f>"2"</f>
        <v>2</v>
      </c>
      <c r="E196" t="str">
        <f>"102-8-2"</f>
        <v>102-8-2</v>
      </c>
      <c r="F196" t="s">
        <v>18</v>
      </c>
      <c r="G196" t="s">
        <v>20</v>
      </c>
      <c r="H196">
        <v>1</v>
      </c>
      <c r="K196">
        <v>0</v>
      </c>
      <c r="L196">
        <v>1</v>
      </c>
      <c r="M196">
        <v>0</v>
      </c>
      <c r="N196">
        <v>1</v>
      </c>
    </row>
    <row r="197" spans="1:16" x14ac:dyDescent="0.25">
      <c r="A197" t="str">
        <f>"193"</f>
        <v>193</v>
      </c>
      <c r="B197" t="str">
        <f t="shared" ref="B197:B260" si="11">"102"</f>
        <v>102</v>
      </c>
      <c r="C197" t="str">
        <f t="shared" si="10"/>
        <v>8</v>
      </c>
      <c r="D197" t="str">
        <f>"17"</f>
        <v>17</v>
      </c>
      <c r="E197" t="str">
        <f>"102-8-17"</f>
        <v>102-8-17</v>
      </c>
      <c r="F197" t="s">
        <v>18</v>
      </c>
      <c r="G197" t="s">
        <v>19</v>
      </c>
      <c r="H197">
        <v>2</v>
      </c>
      <c r="I197">
        <v>0</v>
      </c>
      <c r="J197">
        <v>0</v>
      </c>
      <c r="K197">
        <v>0</v>
      </c>
      <c r="L197">
        <v>1</v>
      </c>
      <c r="M197">
        <v>0</v>
      </c>
      <c r="N197">
        <v>1</v>
      </c>
      <c r="O197">
        <v>1</v>
      </c>
      <c r="P197">
        <v>0</v>
      </c>
    </row>
    <row r="198" spans="1:16" x14ac:dyDescent="0.25">
      <c r="A198" t="str">
        <f>"194"</f>
        <v>194</v>
      </c>
      <c r="B198" t="str">
        <f t="shared" si="11"/>
        <v>102</v>
      </c>
      <c r="C198" t="str">
        <f t="shared" si="10"/>
        <v>8</v>
      </c>
      <c r="D198" t="str">
        <f>"7"</f>
        <v>7</v>
      </c>
      <c r="E198" t="str">
        <f>"102-8-7"</f>
        <v>102-8-7</v>
      </c>
      <c r="F198" t="s">
        <v>18</v>
      </c>
      <c r="G198" t="s">
        <v>20</v>
      </c>
      <c r="H198">
        <v>1</v>
      </c>
      <c r="K198">
        <v>0</v>
      </c>
      <c r="L198">
        <v>1</v>
      </c>
      <c r="M198">
        <v>0</v>
      </c>
      <c r="N198">
        <v>1</v>
      </c>
    </row>
    <row r="199" spans="1:16" x14ac:dyDescent="0.25">
      <c r="A199" t="str">
        <f>"195"</f>
        <v>195</v>
      </c>
      <c r="B199" t="str">
        <f t="shared" si="11"/>
        <v>102</v>
      </c>
      <c r="C199" t="str">
        <f t="shared" si="10"/>
        <v>8</v>
      </c>
      <c r="D199" t="str">
        <f>"18"</f>
        <v>18</v>
      </c>
      <c r="E199" t="str">
        <f>"102-8-18"</f>
        <v>102-8-18</v>
      </c>
      <c r="F199" t="s">
        <v>18</v>
      </c>
      <c r="G199" t="s">
        <v>19</v>
      </c>
      <c r="H199">
        <v>2</v>
      </c>
      <c r="I199">
        <v>1</v>
      </c>
      <c r="J199">
        <v>1</v>
      </c>
      <c r="K199">
        <v>0</v>
      </c>
      <c r="L199">
        <v>1</v>
      </c>
      <c r="M199">
        <v>1</v>
      </c>
      <c r="N199">
        <v>0</v>
      </c>
      <c r="O199">
        <v>1</v>
      </c>
      <c r="P199">
        <v>0</v>
      </c>
    </row>
    <row r="200" spans="1:16" x14ac:dyDescent="0.25">
      <c r="A200" t="str">
        <f>"196"</f>
        <v>196</v>
      </c>
      <c r="B200" t="str">
        <f t="shared" si="11"/>
        <v>102</v>
      </c>
      <c r="C200" t="str">
        <f t="shared" si="10"/>
        <v>8</v>
      </c>
      <c r="D200" t="str">
        <f>"8"</f>
        <v>8</v>
      </c>
      <c r="E200" t="str">
        <f>"102-8-8"</f>
        <v>102-8-8</v>
      </c>
      <c r="F200" t="s">
        <v>18</v>
      </c>
      <c r="G200" t="s">
        <v>19</v>
      </c>
      <c r="H200">
        <v>2</v>
      </c>
      <c r="I200">
        <v>1</v>
      </c>
      <c r="J200">
        <v>1</v>
      </c>
      <c r="K200">
        <v>1</v>
      </c>
      <c r="L200">
        <v>0</v>
      </c>
      <c r="M200">
        <v>1</v>
      </c>
      <c r="N200">
        <v>0</v>
      </c>
      <c r="O200">
        <v>1</v>
      </c>
      <c r="P200">
        <v>0</v>
      </c>
    </row>
    <row r="201" spans="1:16" x14ac:dyDescent="0.25">
      <c r="A201" t="str">
        <f>"197"</f>
        <v>197</v>
      </c>
      <c r="B201" t="str">
        <f t="shared" si="11"/>
        <v>102</v>
      </c>
      <c r="C201" t="str">
        <f t="shared" si="10"/>
        <v>8</v>
      </c>
      <c r="D201" t="str">
        <f>"19"</f>
        <v>19</v>
      </c>
      <c r="E201" t="str">
        <f>"102-8-19"</f>
        <v>102-8-19</v>
      </c>
      <c r="F201" t="s">
        <v>18</v>
      </c>
      <c r="G201" t="s">
        <v>19</v>
      </c>
      <c r="H201">
        <v>2</v>
      </c>
      <c r="I201">
        <v>1</v>
      </c>
      <c r="J201">
        <v>1</v>
      </c>
      <c r="K201">
        <v>0</v>
      </c>
      <c r="L201">
        <v>0</v>
      </c>
      <c r="M201">
        <v>0</v>
      </c>
      <c r="N201">
        <v>0</v>
      </c>
      <c r="O201">
        <v>1</v>
      </c>
      <c r="P201">
        <v>0</v>
      </c>
    </row>
    <row r="202" spans="1:16" x14ac:dyDescent="0.25">
      <c r="A202" t="str">
        <f>"198"</f>
        <v>198</v>
      </c>
      <c r="B202" t="str">
        <f t="shared" si="11"/>
        <v>102</v>
      </c>
      <c r="C202" t="str">
        <f t="shared" si="10"/>
        <v>8</v>
      </c>
      <c r="D202" t="str">
        <f>"9"</f>
        <v>9</v>
      </c>
      <c r="E202" t="str">
        <f>"102-8-9"</f>
        <v>102-8-9</v>
      </c>
      <c r="F202" t="s">
        <v>18</v>
      </c>
      <c r="G202" t="s">
        <v>19</v>
      </c>
      <c r="H202">
        <v>2</v>
      </c>
      <c r="I202">
        <v>0</v>
      </c>
      <c r="J202">
        <v>1</v>
      </c>
      <c r="K202">
        <v>1</v>
      </c>
      <c r="L202">
        <v>0</v>
      </c>
      <c r="M202">
        <v>1</v>
      </c>
      <c r="N202">
        <v>0</v>
      </c>
      <c r="O202">
        <v>1</v>
      </c>
      <c r="P202">
        <v>0</v>
      </c>
    </row>
    <row r="203" spans="1:16" x14ac:dyDescent="0.25">
      <c r="A203" t="str">
        <f>"199"</f>
        <v>199</v>
      </c>
      <c r="B203" t="str">
        <f t="shared" si="11"/>
        <v>102</v>
      </c>
      <c r="C203" t="str">
        <f t="shared" si="10"/>
        <v>8</v>
      </c>
      <c r="D203" t="str">
        <f>"20"</f>
        <v>20</v>
      </c>
      <c r="E203" t="str">
        <f>"102-8-20"</f>
        <v>102-8-20</v>
      </c>
      <c r="F203" t="s">
        <v>18</v>
      </c>
      <c r="G203" t="s">
        <v>19</v>
      </c>
      <c r="H203">
        <v>2</v>
      </c>
      <c r="I203">
        <v>1</v>
      </c>
      <c r="J203">
        <v>1</v>
      </c>
      <c r="K203">
        <v>0</v>
      </c>
      <c r="L203">
        <v>1</v>
      </c>
      <c r="M203">
        <v>0</v>
      </c>
      <c r="N203">
        <v>1</v>
      </c>
      <c r="O203">
        <v>1</v>
      </c>
      <c r="P203">
        <v>0</v>
      </c>
    </row>
    <row r="204" spans="1:16" x14ac:dyDescent="0.25">
      <c r="A204" t="str">
        <f>"200"</f>
        <v>200</v>
      </c>
      <c r="B204" t="str">
        <f t="shared" si="11"/>
        <v>102</v>
      </c>
      <c r="C204" t="str">
        <f t="shared" si="10"/>
        <v>8</v>
      </c>
      <c r="D204" t="str">
        <f>"10"</f>
        <v>10</v>
      </c>
      <c r="E204" t="str">
        <f>"102-8-10"</f>
        <v>102-8-10</v>
      </c>
      <c r="F204" t="s">
        <v>18</v>
      </c>
      <c r="G204" t="s">
        <v>19</v>
      </c>
      <c r="H204">
        <v>2</v>
      </c>
      <c r="I204">
        <v>1</v>
      </c>
      <c r="J204">
        <v>1</v>
      </c>
      <c r="K204">
        <v>0</v>
      </c>
      <c r="L204">
        <v>1</v>
      </c>
      <c r="M204">
        <v>0</v>
      </c>
      <c r="N204">
        <v>1</v>
      </c>
      <c r="O204">
        <v>1</v>
      </c>
      <c r="P204">
        <v>0</v>
      </c>
    </row>
    <row r="205" spans="1:16" x14ac:dyDescent="0.25">
      <c r="A205" t="str">
        <f>"201"</f>
        <v>201</v>
      </c>
      <c r="B205" t="str">
        <f t="shared" si="11"/>
        <v>102</v>
      </c>
      <c r="C205" t="str">
        <f t="shared" ref="C205:C229" si="12">"9"</f>
        <v>9</v>
      </c>
      <c r="D205" t="str">
        <f>"11"</f>
        <v>11</v>
      </c>
      <c r="E205" t="str">
        <f>"102-9-11"</f>
        <v>102-9-11</v>
      </c>
      <c r="F205" t="s">
        <v>18</v>
      </c>
      <c r="G205" t="s">
        <v>19</v>
      </c>
      <c r="H205">
        <v>2</v>
      </c>
      <c r="I205">
        <v>0</v>
      </c>
      <c r="J205">
        <v>0</v>
      </c>
      <c r="K205">
        <v>1</v>
      </c>
      <c r="L205">
        <v>0</v>
      </c>
      <c r="M205">
        <v>1</v>
      </c>
      <c r="N205">
        <v>0</v>
      </c>
      <c r="O205">
        <v>0</v>
      </c>
      <c r="P205">
        <v>0</v>
      </c>
    </row>
    <row r="206" spans="1:16" x14ac:dyDescent="0.25">
      <c r="A206" t="str">
        <f>"202"</f>
        <v>202</v>
      </c>
      <c r="B206" t="str">
        <f t="shared" si="11"/>
        <v>102</v>
      </c>
      <c r="C206" t="str">
        <f t="shared" si="12"/>
        <v>9</v>
      </c>
      <c r="D206" t="str">
        <f>"5"</f>
        <v>5</v>
      </c>
      <c r="E206" t="str">
        <f>"102-9-5"</f>
        <v>102-9-5</v>
      </c>
      <c r="F206" t="s">
        <v>18</v>
      </c>
      <c r="G206" t="s">
        <v>20</v>
      </c>
      <c r="H206">
        <v>1</v>
      </c>
      <c r="K206">
        <v>0</v>
      </c>
      <c r="L206">
        <v>1</v>
      </c>
      <c r="M206">
        <v>0</v>
      </c>
      <c r="N206">
        <v>1</v>
      </c>
    </row>
    <row r="207" spans="1:16" x14ac:dyDescent="0.25">
      <c r="A207" t="str">
        <f>"203"</f>
        <v>203</v>
      </c>
      <c r="B207" t="str">
        <f t="shared" si="11"/>
        <v>102</v>
      </c>
      <c r="C207" t="str">
        <f t="shared" si="12"/>
        <v>9</v>
      </c>
      <c r="D207" t="str">
        <f>"22"</f>
        <v>22</v>
      </c>
      <c r="E207" t="str">
        <f>"102-9-22"</f>
        <v>102-9-22</v>
      </c>
      <c r="F207" t="s">
        <v>18</v>
      </c>
      <c r="G207" t="s">
        <v>20</v>
      </c>
      <c r="H207">
        <v>1</v>
      </c>
      <c r="K207">
        <v>1</v>
      </c>
      <c r="L207">
        <v>0</v>
      </c>
      <c r="M207">
        <v>1</v>
      </c>
      <c r="N207">
        <v>0</v>
      </c>
    </row>
    <row r="208" spans="1:16" x14ac:dyDescent="0.25">
      <c r="A208" t="str">
        <f>"204"</f>
        <v>204</v>
      </c>
      <c r="B208" t="str">
        <f t="shared" si="11"/>
        <v>102</v>
      </c>
      <c r="C208" t="str">
        <f t="shared" si="12"/>
        <v>9</v>
      </c>
      <c r="D208" t="str">
        <f>"12"</f>
        <v>12</v>
      </c>
      <c r="E208" t="str">
        <f>"102-9-12"</f>
        <v>102-9-12</v>
      </c>
      <c r="F208" t="s">
        <v>18</v>
      </c>
      <c r="G208" t="s">
        <v>20</v>
      </c>
      <c r="H208">
        <v>1</v>
      </c>
      <c r="K208">
        <v>1</v>
      </c>
      <c r="L208">
        <v>0</v>
      </c>
      <c r="M208">
        <v>1</v>
      </c>
      <c r="N208">
        <v>0</v>
      </c>
    </row>
    <row r="209" spans="1:16" x14ac:dyDescent="0.25">
      <c r="A209" t="str">
        <f>"205"</f>
        <v>205</v>
      </c>
      <c r="B209" t="str">
        <f t="shared" si="11"/>
        <v>102</v>
      </c>
      <c r="C209" t="str">
        <f t="shared" si="12"/>
        <v>9</v>
      </c>
      <c r="D209" t="str">
        <f>"1"</f>
        <v>1</v>
      </c>
      <c r="E209" t="str">
        <f>"102-9-1"</f>
        <v>102-9-1</v>
      </c>
      <c r="F209" t="s">
        <v>18</v>
      </c>
      <c r="G209" t="s">
        <v>19</v>
      </c>
      <c r="H209">
        <v>2</v>
      </c>
      <c r="I209">
        <v>0</v>
      </c>
      <c r="J209">
        <v>0</v>
      </c>
      <c r="K209">
        <v>0</v>
      </c>
      <c r="L209">
        <v>1</v>
      </c>
      <c r="M209">
        <v>0</v>
      </c>
      <c r="N209">
        <v>1</v>
      </c>
      <c r="O209">
        <v>0</v>
      </c>
      <c r="P209">
        <v>1</v>
      </c>
    </row>
    <row r="210" spans="1:16" x14ac:dyDescent="0.25">
      <c r="A210" t="str">
        <f>"206"</f>
        <v>206</v>
      </c>
      <c r="B210" t="str">
        <f t="shared" si="11"/>
        <v>102</v>
      </c>
      <c r="C210" t="str">
        <f t="shared" si="12"/>
        <v>9</v>
      </c>
      <c r="D210" t="str">
        <f>"21"</f>
        <v>21</v>
      </c>
      <c r="E210" t="str">
        <f>"102-9-21"</f>
        <v>102-9-21</v>
      </c>
      <c r="F210" t="s">
        <v>18</v>
      </c>
      <c r="G210" t="s">
        <v>20</v>
      </c>
      <c r="H210">
        <v>1</v>
      </c>
      <c r="K210">
        <v>0</v>
      </c>
      <c r="L210">
        <v>1</v>
      </c>
      <c r="M210">
        <v>0</v>
      </c>
      <c r="N210">
        <v>1</v>
      </c>
    </row>
    <row r="211" spans="1:16" x14ac:dyDescent="0.25">
      <c r="A211" t="str">
        <f>"207"</f>
        <v>207</v>
      </c>
      <c r="B211" t="str">
        <f t="shared" si="11"/>
        <v>102</v>
      </c>
      <c r="C211" t="str">
        <f t="shared" si="12"/>
        <v>9</v>
      </c>
      <c r="D211" t="str">
        <f>"13"</f>
        <v>13</v>
      </c>
      <c r="E211" t="str">
        <f>"102-9-13"</f>
        <v>102-9-13</v>
      </c>
      <c r="F211" t="s">
        <v>18</v>
      </c>
      <c r="G211" t="s">
        <v>20</v>
      </c>
      <c r="H211">
        <v>1</v>
      </c>
      <c r="K211">
        <v>1</v>
      </c>
      <c r="L211">
        <v>0</v>
      </c>
      <c r="M211">
        <v>1</v>
      </c>
      <c r="N211">
        <v>0</v>
      </c>
    </row>
    <row r="212" spans="1:16" x14ac:dyDescent="0.25">
      <c r="A212" t="str">
        <f>"208"</f>
        <v>208</v>
      </c>
      <c r="B212" t="str">
        <f t="shared" si="11"/>
        <v>102</v>
      </c>
      <c r="C212" t="str">
        <f t="shared" si="12"/>
        <v>9</v>
      </c>
      <c r="D212" t="str">
        <f>"8"</f>
        <v>8</v>
      </c>
      <c r="E212" t="str">
        <f>"102-9-8"</f>
        <v>102-9-8</v>
      </c>
      <c r="F212" t="s">
        <v>18</v>
      </c>
      <c r="G212" t="s">
        <v>20</v>
      </c>
      <c r="H212">
        <v>1</v>
      </c>
      <c r="K212">
        <v>1</v>
      </c>
      <c r="L212">
        <v>0</v>
      </c>
      <c r="M212">
        <v>1</v>
      </c>
      <c r="N212">
        <v>0</v>
      </c>
    </row>
    <row r="213" spans="1:16" x14ac:dyDescent="0.25">
      <c r="A213" t="str">
        <f>"209"</f>
        <v>209</v>
      </c>
      <c r="B213" t="str">
        <f t="shared" si="11"/>
        <v>102</v>
      </c>
      <c r="C213" t="str">
        <f t="shared" si="12"/>
        <v>9</v>
      </c>
      <c r="D213" t="str">
        <f>"23"</f>
        <v>23</v>
      </c>
      <c r="E213" t="str">
        <f>"102-9-23"</f>
        <v>102-9-23</v>
      </c>
      <c r="F213" t="s">
        <v>18</v>
      </c>
      <c r="G213" t="s">
        <v>20</v>
      </c>
      <c r="H213">
        <v>1</v>
      </c>
      <c r="K213">
        <v>0</v>
      </c>
      <c r="L213">
        <v>1</v>
      </c>
      <c r="M213">
        <v>0</v>
      </c>
      <c r="N213">
        <v>1</v>
      </c>
    </row>
    <row r="214" spans="1:16" x14ac:dyDescent="0.25">
      <c r="A214" t="str">
        <f>"210"</f>
        <v>210</v>
      </c>
      <c r="B214" t="str">
        <f t="shared" si="11"/>
        <v>102</v>
      </c>
      <c r="C214" t="str">
        <f t="shared" si="12"/>
        <v>9</v>
      </c>
      <c r="D214" t="str">
        <f>"14"</f>
        <v>14</v>
      </c>
      <c r="E214" t="str">
        <f>"102-9-14"</f>
        <v>102-9-14</v>
      </c>
      <c r="F214" t="s">
        <v>18</v>
      </c>
      <c r="G214" t="s">
        <v>20</v>
      </c>
      <c r="H214">
        <v>1</v>
      </c>
      <c r="K214">
        <v>0</v>
      </c>
      <c r="L214">
        <v>1</v>
      </c>
      <c r="M214">
        <v>0</v>
      </c>
      <c r="N214">
        <v>1</v>
      </c>
    </row>
    <row r="215" spans="1:16" x14ac:dyDescent="0.25">
      <c r="A215" t="str">
        <f>"211"</f>
        <v>211</v>
      </c>
      <c r="B215" t="str">
        <f t="shared" si="11"/>
        <v>102</v>
      </c>
      <c r="C215" t="str">
        <f t="shared" si="12"/>
        <v>9</v>
      </c>
      <c r="D215" t="str">
        <f>"9"</f>
        <v>9</v>
      </c>
      <c r="E215" t="str">
        <f>"102-9-9"</f>
        <v>102-9-9</v>
      </c>
      <c r="F215" t="s">
        <v>18</v>
      </c>
      <c r="G215" t="s">
        <v>20</v>
      </c>
      <c r="H215">
        <v>1</v>
      </c>
      <c r="K215">
        <v>1</v>
      </c>
      <c r="L215">
        <v>0</v>
      </c>
      <c r="M215">
        <v>0</v>
      </c>
      <c r="N215">
        <v>1</v>
      </c>
    </row>
    <row r="216" spans="1:16" x14ac:dyDescent="0.25">
      <c r="A216" t="str">
        <f>"212"</f>
        <v>212</v>
      </c>
      <c r="B216" t="str">
        <f t="shared" si="11"/>
        <v>102</v>
      </c>
      <c r="C216" t="str">
        <f t="shared" si="12"/>
        <v>9</v>
      </c>
      <c r="D216" t="str">
        <f>"24"</f>
        <v>24</v>
      </c>
      <c r="E216" t="str">
        <f>"102-9-24"</f>
        <v>102-9-24</v>
      </c>
      <c r="F216" t="s">
        <v>18</v>
      </c>
      <c r="G216" t="s">
        <v>20</v>
      </c>
      <c r="H216">
        <v>1</v>
      </c>
      <c r="K216">
        <v>0</v>
      </c>
      <c r="L216">
        <v>1</v>
      </c>
      <c r="M216">
        <v>0</v>
      </c>
      <c r="N216">
        <v>1</v>
      </c>
    </row>
    <row r="217" spans="1:16" x14ac:dyDescent="0.25">
      <c r="A217" t="str">
        <f>"213"</f>
        <v>213</v>
      </c>
      <c r="B217" t="str">
        <f t="shared" si="11"/>
        <v>102</v>
      </c>
      <c r="C217" t="str">
        <f t="shared" si="12"/>
        <v>9</v>
      </c>
      <c r="D217" t="str">
        <f>"15"</f>
        <v>15</v>
      </c>
      <c r="E217" t="str">
        <f>"102-9-15"</f>
        <v>102-9-15</v>
      </c>
      <c r="F217" t="s">
        <v>18</v>
      </c>
      <c r="G217" t="s">
        <v>20</v>
      </c>
      <c r="H217">
        <v>1</v>
      </c>
      <c r="K217">
        <v>0</v>
      </c>
      <c r="L217">
        <v>1</v>
      </c>
      <c r="M217">
        <v>0</v>
      </c>
      <c r="N217">
        <v>1</v>
      </c>
    </row>
    <row r="218" spans="1:16" x14ac:dyDescent="0.25">
      <c r="A218" t="str">
        <f>"214"</f>
        <v>214</v>
      </c>
      <c r="B218" t="str">
        <f t="shared" si="11"/>
        <v>102</v>
      </c>
      <c r="C218" t="str">
        <f t="shared" si="12"/>
        <v>9</v>
      </c>
      <c r="D218" t="str">
        <f>"2"</f>
        <v>2</v>
      </c>
      <c r="E218" t="str">
        <f>"102-9-2"</f>
        <v>102-9-2</v>
      </c>
      <c r="F218" t="s">
        <v>18</v>
      </c>
      <c r="G218" t="s">
        <v>19</v>
      </c>
      <c r="H218">
        <v>2</v>
      </c>
      <c r="I218">
        <v>0</v>
      </c>
      <c r="J218">
        <v>1</v>
      </c>
      <c r="K218">
        <v>0</v>
      </c>
      <c r="L218">
        <v>1</v>
      </c>
      <c r="M218">
        <v>0</v>
      </c>
      <c r="N218">
        <v>1</v>
      </c>
      <c r="O218">
        <v>1</v>
      </c>
      <c r="P218">
        <v>0</v>
      </c>
    </row>
    <row r="219" spans="1:16" x14ac:dyDescent="0.25">
      <c r="A219" t="str">
        <f>"215"</f>
        <v>215</v>
      </c>
      <c r="B219" t="str">
        <f t="shared" si="11"/>
        <v>102</v>
      </c>
      <c r="C219" t="str">
        <f t="shared" si="12"/>
        <v>9</v>
      </c>
      <c r="D219" t="str">
        <f>"25"</f>
        <v>25</v>
      </c>
      <c r="E219" t="str">
        <f>"102-9-25"</f>
        <v>102-9-25</v>
      </c>
      <c r="F219" t="s">
        <v>18</v>
      </c>
      <c r="G219" t="s">
        <v>20</v>
      </c>
      <c r="H219">
        <v>1</v>
      </c>
      <c r="K219">
        <v>0</v>
      </c>
      <c r="L219">
        <v>1</v>
      </c>
      <c r="M219">
        <v>0</v>
      </c>
      <c r="N219">
        <v>1</v>
      </c>
    </row>
    <row r="220" spans="1:16" x14ac:dyDescent="0.25">
      <c r="A220" t="str">
        <f>"216"</f>
        <v>216</v>
      </c>
      <c r="B220" t="str">
        <f t="shared" si="11"/>
        <v>102</v>
      </c>
      <c r="C220" t="str">
        <f t="shared" si="12"/>
        <v>9</v>
      </c>
      <c r="D220" t="str">
        <f>"16"</f>
        <v>16</v>
      </c>
      <c r="E220" t="str">
        <f>"102-9-16"</f>
        <v>102-9-16</v>
      </c>
      <c r="F220" t="s">
        <v>18</v>
      </c>
      <c r="G220" t="s">
        <v>20</v>
      </c>
      <c r="H220">
        <v>1</v>
      </c>
      <c r="K220">
        <v>0</v>
      </c>
      <c r="L220">
        <v>1</v>
      </c>
      <c r="M220">
        <v>0</v>
      </c>
      <c r="N220">
        <v>1</v>
      </c>
    </row>
    <row r="221" spans="1:16" x14ac:dyDescent="0.25">
      <c r="A221" t="str">
        <f>"217"</f>
        <v>217</v>
      </c>
      <c r="B221" t="str">
        <f t="shared" si="11"/>
        <v>102</v>
      </c>
      <c r="C221" t="str">
        <f t="shared" si="12"/>
        <v>9</v>
      </c>
      <c r="D221" t="str">
        <f>"3"</f>
        <v>3</v>
      </c>
      <c r="E221" t="str">
        <f>"102-9-3"</f>
        <v>102-9-3</v>
      </c>
      <c r="F221" t="s">
        <v>18</v>
      </c>
      <c r="G221" t="s">
        <v>19</v>
      </c>
      <c r="H221">
        <v>2</v>
      </c>
      <c r="I221">
        <v>0</v>
      </c>
      <c r="J221">
        <v>0</v>
      </c>
      <c r="K221">
        <v>0</v>
      </c>
      <c r="L221">
        <v>1</v>
      </c>
      <c r="M221">
        <v>0</v>
      </c>
      <c r="N221">
        <v>1</v>
      </c>
      <c r="O221">
        <v>0</v>
      </c>
      <c r="P221">
        <v>1</v>
      </c>
    </row>
    <row r="222" spans="1:16" x14ac:dyDescent="0.25">
      <c r="A222" t="str">
        <f>"218"</f>
        <v>218</v>
      </c>
      <c r="B222" t="str">
        <f t="shared" si="11"/>
        <v>102</v>
      </c>
      <c r="C222" t="str">
        <f t="shared" si="12"/>
        <v>9</v>
      </c>
      <c r="D222" t="str">
        <f>"17"</f>
        <v>17</v>
      </c>
      <c r="E222" t="str">
        <f>"102-9-17"</f>
        <v>102-9-17</v>
      </c>
      <c r="F222" t="s">
        <v>18</v>
      </c>
      <c r="G222" t="s">
        <v>20</v>
      </c>
      <c r="H222">
        <v>1</v>
      </c>
      <c r="K222">
        <v>0</v>
      </c>
      <c r="L222">
        <v>1</v>
      </c>
      <c r="M222">
        <v>0</v>
      </c>
      <c r="N222">
        <v>1</v>
      </c>
    </row>
    <row r="223" spans="1:16" x14ac:dyDescent="0.25">
      <c r="A223" t="str">
        <f>"219"</f>
        <v>219</v>
      </c>
      <c r="B223" t="str">
        <f t="shared" si="11"/>
        <v>102</v>
      </c>
      <c r="C223" t="str">
        <f t="shared" si="12"/>
        <v>9</v>
      </c>
      <c r="D223" t="str">
        <f>"4"</f>
        <v>4</v>
      </c>
      <c r="E223" t="str">
        <f>"102-9-4"</f>
        <v>102-9-4</v>
      </c>
      <c r="F223" t="s">
        <v>18</v>
      </c>
      <c r="G223" t="s">
        <v>19</v>
      </c>
      <c r="H223">
        <v>2</v>
      </c>
      <c r="I223">
        <v>0</v>
      </c>
      <c r="J223">
        <v>1</v>
      </c>
      <c r="K223">
        <v>0</v>
      </c>
      <c r="L223">
        <v>1</v>
      </c>
      <c r="M223">
        <v>0</v>
      </c>
      <c r="N223">
        <v>1</v>
      </c>
      <c r="O223">
        <v>1</v>
      </c>
      <c r="P223">
        <v>0</v>
      </c>
    </row>
    <row r="224" spans="1:16" x14ac:dyDescent="0.25">
      <c r="A224" t="str">
        <f>"220"</f>
        <v>220</v>
      </c>
      <c r="B224" t="str">
        <f t="shared" si="11"/>
        <v>102</v>
      </c>
      <c r="C224" t="str">
        <f t="shared" si="12"/>
        <v>9</v>
      </c>
      <c r="D224" t="str">
        <f>"18"</f>
        <v>18</v>
      </c>
      <c r="E224" t="str">
        <f>"102-9-18"</f>
        <v>102-9-18</v>
      </c>
      <c r="F224" t="s">
        <v>18</v>
      </c>
      <c r="G224" t="s">
        <v>20</v>
      </c>
      <c r="H224">
        <v>1</v>
      </c>
      <c r="K224">
        <v>0</v>
      </c>
      <c r="L224">
        <v>1</v>
      </c>
      <c r="M224">
        <v>0</v>
      </c>
      <c r="N224">
        <v>1</v>
      </c>
    </row>
    <row r="225" spans="1:16" x14ac:dyDescent="0.25">
      <c r="A225" t="str">
        <f>"221"</f>
        <v>221</v>
      </c>
      <c r="B225" t="str">
        <f t="shared" si="11"/>
        <v>102</v>
      </c>
      <c r="C225" t="str">
        <f t="shared" si="12"/>
        <v>9</v>
      </c>
      <c r="D225" t="str">
        <f>"6"</f>
        <v>6</v>
      </c>
      <c r="E225" t="str">
        <f>"102-9-6"</f>
        <v>102-9-6</v>
      </c>
      <c r="F225" t="s">
        <v>18</v>
      </c>
      <c r="G225" t="s">
        <v>19</v>
      </c>
      <c r="H225">
        <v>2</v>
      </c>
      <c r="I225">
        <v>0</v>
      </c>
      <c r="J225">
        <v>0</v>
      </c>
      <c r="K225">
        <v>0</v>
      </c>
      <c r="L225">
        <v>1</v>
      </c>
      <c r="M225">
        <v>0</v>
      </c>
      <c r="N225">
        <v>1</v>
      </c>
      <c r="O225">
        <v>0</v>
      </c>
      <c r="P225">
        <v>1</v>
      </c>
    </row>
    <row r="226" spans="1:16" x14ac:dyDescent="0.25">
      <c r="A226" t="str">
        <f>"222"</f>
        <v>222</v>
      </c>
      <c r="B226" t="str">
        <f t="shared" si="11"/>
        <v>102</v>
      </c>
      <c r="C226" t="str">
        <f t="shared" si="12"/>
        <v>9</v>
      </c>
      <c r="D226" t="str">
        <f>"19"</f>
        <v>19</v>
      </c>
      <c r="E226" t="str">
        <f>"102-9-19"</f>
        <v>102-9-19</v>
      </c>
      <c r="F226" t="s">
        <v>18</v>
      </c>
      <c r="G226" t="s">
        <v>20</v>
      </c>
      <c r="H226">
        <v>1</v>
      </c>
      <c r="K226">
        <v>0</v>
      </c>
      <c r="L226">
        <v>1</v>
      </c>
      <c r="M226">
        <v>0</v>
      </c>
      <c r="N226">
        <v>1</v>
      </c>
    </row>
    <row r="227" spans="1:16" x14ac:dyDescent="0.25">
      <c r="A227" t="str">
        <f>"223"</f>
        <v>223</v>
      </c>
      <c r="B227" t="str">
        <f t="shared" si="11"/>
        <v>102</v>
      </c>
      <c r="C227" t="str">
        <f t="shared" si="12"/>
        <v>9</v>
      </c>
      <c r="D227" t="str">
        <f>"7"</f>
        <v>7</v>
      </c>
      <c r="E227" t="str">
        <f>"102-9-7"</f>
        <v>102-9-7</v>
      </c>
      <c r="F227" t="s">
        <v>18</v>
      </c>
      <c r="G227" t="s">
        <v>19</v>
      </c>
      <c r="H227">
        <v>2</v>
      </c>
      <c r="I227">
        <v>1</v>
      </c>
      <c r="J227">
        <v>1</v>
      </c>
      <c r="K227">
        <v>0</v>
      </c>
      <c r="L227">
        <v>1</v>
      </c>
      <c r="M227">
        <v>0</v>
      </c>
      <c r="N227">
        <v>1</v>
      </c>
      <c r="O227">
        <v>1</v>
      </c>
      <c r="P227">
        <v>0</v>
      </c>
    </row>
    <row r="228" spans="1:16" x14ac:dyDescent="0.25">
      <c r="A228" t="str">
        <f>"224"</f>
        <v>224</v>
      </c>
      <c r="B228" t="str">
        <f t="shared" si="11"/>
        <v>102</v>
      </c>
      <c r="C228" t="str">
        <f t="shared" si="12"/>
        <v>9</v>
      </c>
      <c r="D228" t="str">
        <f>"20"</f>
        <v>20</v>
      </c>
      <c r="E228" t="str">
        <f>"102-9-20"</f>
        <v>102-9-20</v>
      </c>
      <c r="F228" t="s">
        <v>18</v>
      </c>
      <c r="G228" t="s">
        <v>20</v>
      </c>
      <c r="H228">
        <v>1</v>
      </c>
      <c r="K228">
        <v>1</v>
      </c>
      <c r="L228">
        <v>0</v>
      </c>
      <c r="M228">
        <v>1</v>
      </c>
      <c r="N228">
        <v>0</v>
      </c>
    </row>
    <row r="229" spans="1:16" x14ac:dyDescent="0.25">
      <c r="A229" t="str">
        <f>"225"</f>
        <v>225</v>
      </c>
      <c r="B229" t="str">
        <f t="shared" si="11"/>
        <v>102</v>
      </c>
      <c r="C229" t="str">
        <f t="shared" si="12"/>
        <v>9</v>
      </c>
      <c r="D229" t="str">
        <f>"10"</f>
        <v>10</v>
      </c>
      <c r="E229" t="str">
        <f>"102-9-10"</f>
        <v>102-9-10</v>
      </c>
      <c r="F229" t="s">
        <v>18</v>
      </c>
      <c r="G229" t="s">
        <v>19</v>
      </c>
      <c r="H229">
        <v>2</v>
      </c>
      <c r="I229">
        <v>1</v>
      </c>
      <c r="J229">
        <v>1</v>
      </c>
      <c r="K229">
        <v>1</v>
      </c>
      <c r="L229">
        <v>0</v>
      </c>
      <c r="M229">
        <v>1</v>
      </c>
      <c r="N229">
        <v>0</v>
      </c>
      <c r="O229">
        <v>1</v>
      </c>
      <c r="P229">
        <v>0</v>
      </c>
    </row>
    <row r="230" spans="1:16" x14ac:dyDescent="0.25">
      <c r="A230" t="str">
        <f>"226"</f>
        <v>226</v>
      </c>
      <c r="B230" t="str">
        <f t="shared" si="11"/>
        <v>102</v>
      </c>
      <c r="C230" t="str">
        <f t="shared" ref="C230:C254" si="13">"10"</f>
        <v>10</v>
      </c>
      <c r="D230" t="str">
        <f>"25"</f>
        <v>25</v>
      </c>
      <c r="E230" t="str">
        <f>"102-10-25"</f>
        <v>102-10-25</v>
      </c>
      <c r="F230" t="s">
        <v>18</v>
      </c>
      <c r="G230" t="s">
        <v>19</v>
      </c>
      <c r="H230">
        <v>2</v>
      </c>
      <c r="I230">
        <v>1</v>
      </c>
      <c r="J230">
        <v>1</v>
      </c>
      <c r="K230">
        <v>0</v>
      </c>
      <c r="L230">
        <v>1</v>
      </c>
      <c r="M230">
        <v>0</v>
      </c>
      <c r="N230">
        <v>1</v>
      </c>
      <c r="O230">
        <v>1</v>
      </c>
      <c r="P230">
        <v>0</v>
      </c>
    </row>
    <row r="231" spans="1:16" x14ac:dyDescent="0.25">
      <c r="A231" t="str">
        <f>"227"</f>
        <v>227</v>
      </c>
      <c r="B231" t="str">
        <f t="shared" si="11"/>
        <v>102</v>
      </c>
      <c r="C231" t="str">
        <f t="shared" si="13"/>
        <v>10</v>
      </c>
      <c r="D231" t="str">
        <f>"24"</f>
        <v>24</v>
      </c>
      <c r="E231" t="str">
        <f>"102-10-24"</f>
        <v>102-10-24</v>
      </c>
      <c r="F231" t="s">
        <v>18</v>
      </c>
      <c r="G231" t="s">
        <v>19</v>
      </c>
      <c r="H231">
        <v>2</v>
      </c>
      <c r="I231">
        <v>1</v>
      </c>
      <c r="J231">
        <v>1</v>
      </c>
      <c r="K231">
        <v>1</v>
      </c>
      <c r="L231">
        <v>0</v>
      </c>
      <c r="M231">
        <v>0</v>
      </c>
      <c r="N231">
        <v>1</v>
      </c>
      <c r="O231">
        <v>1</v>
      </c>
      <c r="P231">
        <v>0</v>
      </c>
    </row>
    <row r="232" spans="1:16" x14ac:dyDescent="0.25">
      <c r="A232" t="str">
        <f>"228"</f>
        <v>228</v>
      </c>
      <c r="B232" t="str">
        <f t="shared" si="11"/>
        <v>102</v>
      </c>
      <c r="C232" t="str">
        <f t="shared" si="13"/>
        <v>10</v>
      </c>
      <c r="D232" t="str">
        <f>"18"</f>
        <v>18</v>
      </c>
      <c r="E232" t="str">
        <f>"102-10-18"</f>
        <v>102-10-18</v>
      </c>
      <c r="F232" t="s">
        <v>18</v>
      </c>
      <c r="G232" t="s">
        <v>19</v>
      </c>
      <c r="H232">
        <v>2</v>
      </c>
      <c r="I232">
        <v>1</v>
      </c>
      <c r="J232">
        <v>1</v>
      </c>
      <c r="K232">
        <v>1</v>
      </c>
      <c r="L232">
        <v>0</v>
      </c>
      <c r="M232">
        <v>1</v>
      </c>
      <c r="N232">
        <v>0</v>
      </c>
      <c r="O232">
        <v>1</v>
      </c>
      <c r="P232">
        <v>0</v>
      </c>
    </row>
    <row r="233" spans="1:16" x14ac:dyDescent="0.25">
      <c r="A233" t="str">
        <f>"229"</f>
        <v>229</v>
      </c>
      <c r="B233" t="str">
        <f t="shared" si="11"/>
        <v>102</v>
      </c>
      <c r="C233" t="str">
        <f t="shared" si="13"/>
        <v>10</v>
      </c>
      <c r="D233" t="str">
        <f>"11"</f>
        <v>11</v>
      </c>
      <c r="E233" t="str">
        <f>"102-10-11"</f>
        <v>102-10-11</v>
      </c>
      <c r="F233" t="s">
        <v>18</v>
      </c>
      <c r="G233" t="s">
        <v>20</v>
      </c>
      <c r="H233">
        <v>1</v>
      </c>
      <c r="K233">
        <v>0</v>
      </c>
      <c r="L233">
        <v>1</v>
      </c>
      <c r="M233">
        <v>0</v>
      </c>
      <c r="N233">
        <v>1</v>
      </c>
    </row>
    <row r="234" spans="1:16" x14ac:dyDescent="0.25">
      <c r="A234" t="str">
        <f>"230"</f>
        <v>230</v>
      </c>
      <c r="B234" t="str">
        <f t="shared" si="11"/>
        <v>102</v>
      </c>
      <c r="C234" t="str">
        <f t="shared" si="13"/>
        <v>10</v>
      </c>
      <c r="D234" t="str">
        <f>"1"</f>
        <v>1</v>
      </c>
      <c r="E234" t="str">
        <f>"102-10-1"</f>
        <v>102-10-1</v>
      </c>
      <c r="F234" t="s">
        <v>18</v>
      </c>
      <c r="G234" t="s">
        <v>20</v>
      </c>
      <c r="H234">
        <v>1</v>
      </c>
      <c r="K234">
        <v>0</v>
      </c>
      <c r="L234">
        <v>1</v>
      </c>
      <c r="M234">
        <v>0</v>
      </c>
      <c r="N234">
        <v>1</v>
      </c>
    </row>
    <row r="235" spans="1:16" x14ac:dyDescent="0.25">
      <c r="A235" t="str">
        <f>"231"</f>
        <v>231</v>
      </c>
      <c r="B235" t="str">
        <f t="shared" si="11"/>
        <v>102</v>
      </c>
      <c r="C235" t="str">
        <f t="shared" si="13"/>
        <v>10</v>
      </c>
      <c r="D235" t="str">
        <f>"23"</f>
        <v>23</v>
      </c>
      <c r="E235" t="str">
        <f>"102-10-23"</f>
        <v>102-10-23</v>
      </c>
      <c r="F235" t="s">
        <v>18</v>
      </c>
      <c r="G235" t="s">
        <v>19</v>
      </c>
      <c r="H235">
        <v>2</v>
      </c>
      <c r="I235">
        <v>1</v>
      </c>
      <c r="J235">
        <v>1</v>
      </c>
      <c r="K235">
        <v>1</v>
      </c>
      <c r="L235">
        <v>0</v>
      </c>
      <c r="M235">
        <v>0</v>
      </c>
      <c r="N235">
        <v>1</v>
      </c>
      <c r="O235">
        <v>1</v>
      </c>
      <c r="P235">
        <v>0</v>
      </c>
    </row>
    <row r="236" spans="1:16" x14ac:dyDescent="0.25">
      <c r="A236" t="str">
        <f>"232"</f>
        <v>232</v>
      </c>
      <c r="B236" t="str">
        <f t="shared" si="11"/>
        <v>102</v>
      </c>
      <c r="C236" t="str">
        <f t="shared" si="13"/>
        <v>10</v>
      </c>
      <c r="D236" t="str">
        <f>"12"</f>
        <v>12</v>
      </c>
      <c r="E236" t="str">
        <f>"102-10-12"</f>
        <v>102-10-12</v>
      </c>
      <c r="F236" t="s">
        <v>18</v>
      </c>
      <c r="G236" t="s">
        <v>20</v>
      </c>
      <c r="H236">
        <v>1</v>
      </c>
      <c r="K236">
        <v>0</v>
      </c>
      <c r="L236">
        <v>1</v>
      </c>
      <c r="M236">
        <v>0</v>
      </c>
      <c r="N236">
        <v>1</v>
      </c>
    </row>
    <row r="237" spans="1:16" x14ac:dyDescent="0.25">
      <c r="A237" t="str">
        <f>"233"</f>
        <v>233</v>
      </c>
      <c r="B237" t="str">
        <f t="shared" si="11"/>
        <v>102</v>
      </c>
      <c r="C237" t="str">
        <f t="shared" si="13"/>
        <v>10</v>
      </c>
      <c r="D237" t="str">
        <f>"2"</f>
        <v>2</v>
      </c>
      <c r="E237" t="str">
        <f>"102-10-2"</f>
        <v>102-10-2</v>
      </c>
      <c r="F237" t="s">
        <v>18</v>
      </c>
      <c r="G237" t="s">
        <v>20</v>
      </c>
      <c r="H237">
        <v>1</v>
      </c>
      <c r="K237">
        <v>0</v>
      </c>
      <c r="L237">
        <v>1</v>
      </c>
      <c r="M237">
        <v>0</v>
      </c>
      <c r="N237">
        <v>1</v>
      </c>
    </row>
    <row r="238" spans="1:16" x14ac:dyDescent="0.25">
      <c r="A238" t="str">
        <f>"234"</f>
        <v>234</v>
      </c>
      <c r="B238" t="str">
        <f t="shared" si="11"/>
        <v>102</v>
      </c>
      <c r="C238" t="str">
        <f t="shared" si="13"/>
        <v>10</v>
      </c>
      <c r="D238" t="str">
        <f>"13"</f>
        <v>13</v>
      </c>
      <c r="E238" t="str">
        <f>"102-10-13"</f>
        <v>102-10-13</v>
      </c>
      <c r="F238" t="s">
        <v>18</v>
      </c>
      <c r="G238" t="s">
        <v>20</v>
      </c>
      <c r="H238">
        <v>1</v>
      </c>
      <c r="K238">
        <v>1</v>
      </c>
      <c r="L238">
        <v>0</v>
      </c>
      <c r="M238">
        <v>0</v>
      </c>
      <c r="N238">
        <v>1</v>
      </c>
    </row>
    <row r="239" spans="1:16" x14ac:dyDescent="0.25">
      <c r="A239" t="str">
        <f>"235"</f>
        <v>235</v>
      </c>
      <c r="B239" t="str">
        <f t="shared" si="11"/>
        <v>102</v>
      </c>
      <c r="C239" t="str">
        <f t="shared" si="13"/>
        <v>10</v>
      </c>
      <c r="D239" t="str">
        <f>"7"</f>
        <v>7</v>
      </c>
      <c r="E239" t="str">
        <f>"102-10-7"</f>
        <v>102-10-7</v>
      </c>
      <c r="F239" t="s">
        <v>18</v>
      </c>
      <c r="G239" t="s">
        <v>20</v>
      </c>
      <c r="H239">
        <v>1</v>
      </c>
      <c r="K239">
        <v>1</v>
      </c>
      <c r="L239">
        <v>0</v>
      </c>
      <c r="M239">
        <v>1</v>
      </c>
      <c r="N239">
        <v>0</v>
      </c>
    </row>
    <row r="240" spans="1:16" x14ac:dyDescent="0.25">
      <c r="A240" t="str">
        <f>"236"</f>
        <v>236</v>
      </c>
      <c r="B240" t="str">
        <f t="shared" si="11"/>
        <v>102</v>
      </c>
      <c r="C240" t="str">
        <f t="shared" si="13"/>
        <v>10</v>
      </c>
      <c r="D240" t="str">
        <f>"22"</f>
        <v>22</v>
      </c>
      <c r="E240" t="str">
        <f>"102-10-22"</f>
        <v>102-10-22</v>
      </c>
      <c r="F240" t="s">
        <v>18</v>
      </c>
      <c r="G240" t="s">
        <v>19</v>
      </c>
      <c r="H240">
        <v>2</v>
      </c>
      <c r="I240">
        <v>1</v>
      </c>
      <c r="J240">
        <v>1</v>
      </c>
      <c r="K240">
        <v>0</v>
      </c>
      <c r="L240">
        <v>1</v>
      </c>
      <c r="M240">
        <v>0</v>
      </c>
      <c r="N240">
        <v>1</v>
      </c>
      <c r="O240">
        <v>1</v>
      </c>
      <c r="P240">
        <v>0</v>
      </c>
    </row>
    <row r="241" spans="1:16" x14ac:dyDescent="0.25">
      <c r="A241" t="str">
        <f>"237"</f>
        <v>237</v>
      </c>
      <c r="B241" t="str">
        <f t="shared" si="11"/>
        <v>102</v>
      </c>
      <c r="C241" t="str">
        <f t="shared" si="13"/>
        <v>10</v>
      </c>
      <c r="D241" t="str">
        <f>"14"</f>
        <v>14</v>
      </c>
      <c r="E241" t="str">
        <f>"102-10-14"</f>
        <v>102-10-14</v>
      </c>
      <c r="F241" t="s">
        <v>18</v>
      </c>
      <c r="G241" t="s">
        <v>20</v>
      </c>
      <c r="H241">
        <v>1</v>
      </c>
      <c r="K241">
        <v>1</v>
      </c>
      <c r="L241">
        <v>0</v>
      </c>
      <c r="M241">
        <v>1</v>
      </c>
      <c r="N241">
        <v>0</v>
      </c>
    </row>
    <row r="242" spans="1:16" x14ac:dyDescent="0.25">
      <c r="A242" t="str">
        <f>"238"</f>
        <v>238</v>
      </c>
      <c r="B242" t="str">
        <f t="shared" si="11"/>
        <v>102</v>
      </c>
      <c r="C242" t="str">
        <f t="shared" si="13"/>
        <v>10</v>
      </c>
      <c r="D242" t="str">
        <f>"8"</f>
        <v>8</v>
      </c>
      <c r="E242" t="str">
        <f>"102-10-8"</f>
        <v>102-10-8</v>
      </c>
      <c r="F242" t="s">
        <v>18</v>
      </c>
      <c r="G242" t="s">
        <v>20</v>
      </c>
      <c r="H242">
        <v>1</v>
      </c>
      <c r="K242">
        <v>1</v>
      </c>
      <c r="L242">
        <v>0</v>
      </c>
      <c r="M242">
        <v>1</v>
      </c>
      <c r="N242">
        <v>0</v>
      </c>
    </row>
    <row r="243" spans="1:16" x14ac:dyDescent="0.25">
      <c r="A243" t="str">
        <f>"239"</f>
        <v>239</v>
      </c>
      <c r="B243" t="str">
        <f t="shared" si="11"/>
        <v>102</v>
      </c>
      <c r="C243" t="str">
        <f t="shared" si="13"/>
        <v>10</v>
      </c>
      <c r="D243" t="str">
        <f>"15"</f>
        <v>15</v>
      </c>
      <c r="E243" t="str">
        <f>"102-10-15"</f>
        <v>102-10-15</v>
      </c>
      <c r="F243" t="s">
        <v>18</v>
      </c>
      <c r="G243" t="s">
        <v>20</v>
      </c>
      <c r="H243">
        <v>1</v>
      </c>
      <c r="K243">
        <v>1</v>
      </c>
      <c r="L243">
        <v>0</v>
      </c>
      <c r="M243">
        <v>1</v>
      </c>
      <c r="N243">
        <v>0</v>
      </c>
    </row>
    <row r="244" spans="1:16" x14ac:dyDescent="0.25">
      <c r="A244" t="str">
        <f>"240"</f>
        <v>240</v>
      </c>
      <c r="B244" t="str">
        <f t="shared" si="11"/>
        <v>102</v>
      </c>
      <c r="C244" t="str">
        <f t="shared" si="13"/>
        <v>10</v>
      </c>
      <c r="D244" t="str">
        <f>"10"</f>
        <v>10</v>
      </c>
      <c r="E244" t="str">
        <f>"102-10-10"</f>
        <v>102-10-10</v>
      </c>
      <c r="F244" t="s">
        <v>18</v>
      </c>
      <c r="G244" t="s">
        <v>20</v>
      </c>
      <c r="H244">
        <v>1</v>
      </c>
      <c r="K244">
        <v>1</v>
      </c>
      <c r="L244">
        <v>0</v>
      </c>
      <c r="M244">
        <v>1</v>
      </c>
      <c r="N244">
        <v>0</v>
      </c>
    </row>
    <row r="245" spans="1:16" x14ac:dyDescent="0.25">
      <c r="A245" t="str">
        <f>"241"</f>
        <v>241</v>
      </c>
      <c r="B245" t="str">
        <f t="shared" si="11"/>
        <v>102</v>
      </c>
      <c r="C245" t="str">
        <f t="shared" si="13"/>
        <v>10</v>
      </c>
      <c r="D245" t="str">
        <f>"16"</f>
        <v>16</v>
      </c>
      <c r="E245" t="str">
        <f>"102-10-16"</f>
        <v>102-10-16</v>
      </c>
      <c r="F245" t="s">
        <v>18</v>
      </c>
      <c r="G245" t="s">
        <v>20</v>
      </c>
      <c r="H245">
        <v>1</v>
      </c>
      <c r="K245">
        <v>1</v>
      </c>
      <c r="L245">
        <v>0</v>
      </c>
      <c r="M245">
        <v>1</v>
      </c>
      <c r="N245">
        <v>0</v>
      </c>
    </row>
    <row r="246" spans="1:16" x14ac:dyDescent="0.25">
      <c r="A246" t="str">
        <f>"242"</f>
        <v>242</v>
      </c>
      <c r="B246" t="str">
        <f t="shared" si="11"/>
        <v>102</v>
      </c>
      <c r="C246" t="str">
        <f t="shared" si="13"/>
        <v>10</v>
      </c>
      <c r="D246" t="str">
        <f>"5"</f>
        <v>5</v>
      </c>
      <c r="E246" t="str">
        <f>"102-10-5"</f>
        <v>102-10-5</v>
      </c>
      <c r="F246" t="s">
        <v>18</v>
      </c>
      <c r="G246" t="s">
        <v>20</v>
      </c>
      <c r="H246">
        <v>1</v>
      </c>
      <c r="K246">
        <v>0</v>
      </c>
      <c r="L246">
        <v>1</v>
      </c>
      <c r="M246">
        <v>0</v>
      </c>
      <c r="N246">
        <v>1</v>
      </c>
    </row>
    <row r="247" spans="1:16" x14ac:dyDescent="0.25">
      <c r="A247" t="str">
        <f>"243"</f>
        <v>243</v>
      </c>
      <c r="B247" t="str">
        <f t="shared" si="11"/>
        <v>102</v>
      </c>
      <c r="C247" t="str">
        <f t="shared" si="13"/>
        <v>10</v>
      </c>
      <c r="D247" t="str">
        <f>"17"</f>
        <v>17</v>
      </c>
      <c r="E247" t="str">
        <f>"102-10-17"</f>
        <v>102-10-17</v>
      </c>
      <c r="F247" t="s">
        <v>18</v>
      </c>
      <c r="G247" t="s">
        <v>19</v>
      </c>
      <c r="H247">
        <v>2</v>
      </c>
      <c r="I247">
        <v>1</v>
      </c>
      <c r="J247">
        <v>1</v>
      </c>
      <c r="K247">
        <v>1</v>
      </c>
      <c r="L247">
        <v>0</v>
      </c>
      <c r="M247">
        <v>0</v>
      </c>
      <c r="N247">
        <v>1</v>
      </c>
      <c r="O247">
        <v>1</v>
      </c>
      <c r="P247">
        <v>0</v>
      </c>
    </row>
    <row r="248" spans="1:16" x14ac:dyDescent="0.25">
      <c r="A248" t="str">
        <f>"244"</f>
        <v>244</v>
      </c>
      <c r="B248" t="str">
        <f t="shared" si="11"/>
        <v>102</v>
      </c>
      <c r="C248" t="str">
        <f t="shared" si="13"/>
        <v>10</v>
      </c>
      <c r="D248" t="str">
        <f>"9"</f>
        <v>9</v>
      </c>
      <c r="E248" t="str">
        <f>"102-10-9"</f>
        <v>102-10-9</v>
      </c>
      <c r="F248" t="s">
        <v>18</v>
      </c>
      <c r="G248" t="s">
        <v>20</v>
      </c>
      <c r="H248">
        <v>1</v>
      </c>
      <c r="K248">
        <v>0</v>
      </c>
      <c r="L248">
        <v>1</v>
      </c>
      <c r="M248">
        <v>1</v>
      </c>
      <c r="N248">
        <v>0</v>
      </c>
    </row>
    <row r="249" spans="1:16" x14ac:dyDescent="0.25">
      <c r="A249" t="str">
        <f>"245"</f>
        <v>245</v>
      </c>
      <c r="B249" t="str">
        <f t="shared" si="11"/>
        <v>102</v>
      </c>
      <c r="C249" t="str">
        <f t="shared" si="13"/>
        <v>10</v>
      </c>
      <c r="D249" t="str">
        <f>"19"</f>
        <v>19</v>
      </c>
      <c r="E249" t="str">
        <f>"102-10-19"</f>
        <v>102-10-19</v>
      </c>
      <c r="F249" t="s">
        <v>18</v>
      </c>
      <c r="G249" t="s">
        <v>19</v>
      </c>
      <c r="H249">
        <v>2</v>
      </c>
      <c r="I249">
        <v>1</v>
      </c>
      <c r="J249">
        <v>1</v>
      </c>
      <c r="K249">
        <v>1</v>
      </c>
      <c r="L249">
        <v>0</v>
      </c>
      <c r="M249">
        <v>1</v>
      </c>
      <c r="N249">
        <v>0</v>
      </c>
      <c r="O249">
        <v>1</v>
      </c>
      <c r="P249">
        <v>0</v>
      </c>
    </row>
    <row r="250" spans="1:16" x14ac:dyDescent="0.25">
      <c r="A250" t="str">
        <f>"246"</f>
        <v>246</v>
      </c>
      <c r="B250" t="str">
        <f t="shared" si="11"/>
        <v>102</v>
      </c>
      <c r="C250" t="str">
        <f t="shared" si="13"/>
        <v>10</v>
      </c>
      <c r="D250" t="str">
        <f>"4"</f>
        <v>4</v>
      </c>
      <c r="E250" t="str">
        <f>"102-10-4"</f>
        <v>102-10-4</v>
      </c>
      <c r="F250" t="s">
        <v>18</v>
      </c>
      <c r="G250" t="s">
        <v>19</v>
      </c>
      <c r="H250">
        <v>2</v>
      </c>
      <c r="I250">
        <v>0</v>
      </c>
      <c r="J250">
        <v>0</v>
      </c>
      <c r="K250">
        <v>1</v>
      </c>
      <c r="L250">
        <v>0</v>
      </c>
      <c r="M250">
        <v>1</v>
      </c>
      <c r="N250">
        <v>0</v>
      </c>
      <c r="O250">
        <v>0</v>
      </c>
      <c r="P250">
        <v>1</v>
      </c>
    </row>
    <row r="251" spans="1:16" x14ac:dyDescent="0.25">
      <c r="A251" t="str">
        <f>"247"</f>
        <v>247</v>
      </c>
      <c r="B251" t="str">
        <f t="shared" si="11"/>
        <v>102</v>
      </c>
      <c r="C251" t="str">
        <f t="shared" si="13"/>
        <v>10</v>
      </c>
      <c r="D251" t="str">
        <f>"20"</f>
        <v>20</v>
      </c>
      <c r="E251" t="str">
        <f>"102-10-20"</f>
        <v>102-10-20</v>
      </c>
      <c r="F251" t="s">
        <v>18</v>
      </c>
      <c r="G251" t="s">
        <v>19</v>
      </c>
      <c r="H251">
        <v>2</v>
      </c>
      <c r="I251">
        <v>0</v>
      </c>
      <c r="J251">
        <v>0</v>
      </c>
      <c r="K251">
        <v>1</v>
      </c>
      <c r="L251">
        <v>0</v>
      </c>
      <c r="M251">
        <v>1</v>
      </c>
      <c r="N251">
        <v>0</v>
      </c>
      <c r="O251">
        <v>1</v>
      </c>
      <c r="P251">
        <v>0</v>
      </c>
    </row>
    <row r="252" spans="1:16" x14ac:dyDescent="0.25">
      <c r="A252" t="str">
        <f>"248"</f>
        <v>248</v>
      </c>
      <c r="B252" t="str">
        <f t="shared" si="11"/>
        <v>102</v>
      </c>
      <c r="C252" t="str">
        <f t="shared" si="13"/>
        <v>10</v>
      </c>
      <c r="D252" t="str">
        <f>"6"</f>
        <v>6</v>
      </c>
      <c r="E252" t="str">
        <f>"102-10-6"</f>
        <v>102-10-6</v>
      </c>
      <c r="F252" t="s">
        <v>18</v>
      </c>
      <c r="G252" t="s">
        <v>19</v>
      </c>
      <c r="H252">
        <v>2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1</v>
      </c>
      <c r="O252">
        <v>0</v>
      </c>
      <c r="P252">
        <v>1</v>
      </c>
    </row>
    <row r="253" spans="1:16" x14ac:dyDescent="0.25">
      <c r="A253" t="str">
        <f>"249"</f>
        <v>249</v>
      </c>
      <c r="B253" t="str">
        <f t="shared" si="11"/>
        <v>102</v>
      </c>
      <c r="C253" t="str">
        <f t="shared" si="13"/>
        <v>10</v>
      </c>
      <c r="D253" t="str">
        <f>"21"</f>
        <v>21</v>
      </c>
      <c r="E253" t="str">
        <f>"102-10-21"</f>
        <v>102-10-21</v>
      </c>
      <c r="F253" t="s">
        <v>18</v>
      </c>
      <c r="G253" t="s">
        <v>19</v>
      </c>
      <c r="H253">
        <v>2</v>
      </c>
      <c r="I253">
        <v>1</v>
      </c>
      <c r="J253">
        <v>1</v>
      </c>
      <c r="K253">
        <v>0</v>
      </c>
      <c r="L253">
        <v>1</v>
      </c>
      <c r="M253">
        <v>0</v>
      </c>
      <c r="N253">
        <v>1</v>
      </c>
      <c r="O253">
        <v>0</v>
      </c>
      <c r="P253">
        <v>1</v>
      </c>
    </row>
    <row r="254" spans="1:16" x14ac:dyDescent="0.25">
      <c r="A254" t="str">
        <f>"250"</f>
        <v>250</v>
      </c>
      <c r="B254" t="str">
        <f t="shared" si="11"/>
        <v>102</v>
      </c>
      <c r="C254" t="str">
        <f t="shared" si="13"/>
        <v>10</v>
      </c>
      <c r="D254" t="str">
        <f>"3"</f>
        <v>3</v>
      </c>
      <c r="E254" t="str">
        <f>"102-10-3"</f>
        <v>102-10-3</v>
      </c>
      <c r="F254" t="s">
        <v>18</v>
      </c>
      <c r="G254" t="s">
        <v>19</v>
      </c>
      <c r="H254">
        <v>2</v>
      </c>
      <c r="I254">
        <v>1</v>
      </c>
      <c r="J254">
        <v>0</v>
      </c>
      <c r="K254">
        <v>0</v>
      </c>
      <c r="L254">
        <v>1</v>
      </c>
      <c r="M254">
        <v>0</v>
      </c>
      <c r="N254">
        <v>1</v>
      </c>
      <c r="O254">
        <v>1</v>
      </c>
      <c r="P254">
        <v>0</v>
      </c>
    </row>
    <row r="255" spans="1:16" x14ac:dyDescent="0.25">
      <c r="A255" t="str">
        <f>"251"</f>
        <v>251</v>
      </c>
      <c r="B255" t="str">
        <f t="shared" si="11"/>
        <v>102</v>
      </c>
      <c r="C255" t="str">
        <f>"11"</f>
        <v>11</v>
      </c>
      <c r="D255" t="str">
        <f>"11"</f>
        <v>11</v>
      </c>
      <c r="E255" t="str">
        <f>"102-11-11"</f>
        <v>102-11-11</v>
      </c>
      <c r="F255" t="s">
        <v>18</v>
      </c>
      <c r="G255" t="s">
        <v>19</v>
      </c>
      <c r="H255">
        <v>2</v>
      </c>
      <c r="I255">
        <v>1</v>
      </c>
      <c r="J255">
        <v>1</v>
      </c>
      <c r="K255">
        <v>1</v>
      </c>
      <c r="L255">
        <v>0</v>
      </c>
      <c r="M255">
        <v>1</v>
      </c>
      <c r="N255">
        <v>0</v>
      </c>
      <c r="O255">
        <v>1</v>
      </c>
      <c r="P255">
        <v>0</v>
      </c>
    </row>
    <row r="256" spans="1:16" x14ac:dyDescent="0.25">
      <c r="A256" t="str">
        <f>"252"</f>
        <v>252</v>
      </c>
      <c r="B256" t="str">
        <f t="shared" si="11"/>
        <v>102</v>
      </c>
      <c r="C256" t="str">
        <f t="shared" ref="C256:C279" si="14">"11"</f>
        <v>11</v>
      </c>
      <c r="D256" t="str">
        <f>"5"</f>
        <v>5</v>
      </c>
      <c r="E256" t="str">
        <f>"102-11-5"</f>
        <v>102-11-5</v>
      </c>
      <c r="F256" t="s">
        <v>18</v>
      </c>
      <c r="G256" t="s">
        <v>19</v>
      </c>
      <c r="H256">
        <v>2</v>
      </c>
      <c r="I256">
        <v>1</v>
      </c>
      <c r="J256">
        <v>1</v>
      </c>
      <c r="K256">
        <v>0</v>
      </c>
      <c r="L256">
        <v>1</v>
      </c>
      <c r="M256">
        <v>0</v>
      </c>
      <c r="N256">
        <v>1</v>
      </c>
      <c r="O256">
        <v>1</v>
      </c>
      <c r="P256">
        <v>0</v>
      </c>
    </row>
    <row r="257" spans="1:16" x14ac:dyDescent="0.25">
      <c r="A257" t="str">
        <f>"253"</f>
        <v>253</v>
      </c>
      <c r="B257" t="str">
        <f t="shared" si="11"/>
        <v>102</v>
      </c>
      <c r="C257" t="str">
        <f t="shared" si="14"/>
        <v>11</v>
      </c>
      <c r="D257" t="str">
        <f>"12"</f>
        <v>12</v>
      </c>
      <c r="E257" t="str">
        <f>"102-11-12"</f>
        <v>102-11-12</v>
      </c>
      <c r="F257" t="s">
        <v>18</v>
      </c>
      <c r="G257" t="s">
        <v>19</v>
      </c>
      <c r="H257">
        <v>2</v>
      </c>
      <c r="I257">
        <v>0</v>
      </c>
      <c r="J257">
        <v>1</v>
      </c>
      <c r="K257">
        <v>1</v>
      </c>
      <c r="L257">
        <v>0</v>
      </c>
      <c r="M257">
        <v>0</v>
      </c>
      <c r="N257">
        <v>1</v>
      </c>
      <c r="O257">
        <v>0</v>
      </c>
      <c r="P257">
        <v>1</v>
      </c>
    </row>
    <row r="258" spans="1:16" x14ac:dyDescent="0.25">
      <c r="A258" t="str">
        <f>"254"</f>
        <v>254</v>
      </c>
      <c r="B258" t="str">
        <f t="shared" si="11"/>
        <v>102</v>
      </c>
      <c r="C258" t="str">
        <f t="shared" si="14"/>
        <v>11</v>
      </c>
      <c r="D258" t="str">
        <f>"4"</f>
        <v>4</v>
      </c>
      <c r="E258" t="str">
        <f>"102-11-4"</f>
        <v>102-11-4</v>
      </c>
      <c r="F258" t="s">
        <v>18</v>
      </c>
      <c r="G258" t="s">
        <v>19</v>
      </c>
      <c r="H258">
        <v>2</v>
      </c>
      <c r="I258">
        <v>1</v>
      </c>
      <c r="J258">
        <v>1</v>
      </c>
      <c r="K258">
        <v>0</v>
      </c>
      <c r="L258">
        <v>1</v>
      </c>
      <c r="M258">
        <v>0</v>
      </c>
      <c r="N258">
        <v>1</v>
      </c>
      <c r="O258">
        <v>1</v>
      </c>
      <c r="P258">
        <v>0</v>
      </c>
    </row>
    <row r="259" spans="1:16" x14ac:dyDescent="0.25">
      <c r="A259" t="str">
        <f>"255"</f>
        <v>255</v>
      </c>
      <c r="B259" t="str">
        <f t="shared" si="11"/>
        <v>102</v>
      </c>
      <c r="C259" t="str">
        <f t="shared" si="14"/>
        <v>11</v>
      </c>
      <c r="D259" t="str">
        <f>"23"</f>
        <v>23</v>
      </c>
      <c r="E259" t="str">
        <f>"102-11-23"</f>
        <v>102-11-23</v>
      </c>
      <c r="F259" t="s">
        <v>18</v>
      </c>
      <c r="G259" t="s">
        <v>19</v>
      </c>
      <c r="H259">
        <v>2</v>
      </c>
      <c r="I259">
        <v>1</v>
      </c>
      <c r="J259">
        <v>1</v>
      </c>
      <c r="K259">
        <v>0</v>
      </c>
      <c r="L259">
        <v>1</v>
      </c>
      <c r="M259">
        <v>0</v>
      </c>
      <c r="N259">
        <v>1</v>
      </c>
      <c r="O259">
        <v>1</v>
      </c>
      <c r="P259">
        <v>0</v>
      </c>
    </row>
    <row r="260" spans="1:16" x14ac:dyDescent="0.25">
      <c r="A260" t="str">
        <f>"256"</f>
        <v>256</v>
      </c>
      <c r="B260" t="str">
        <f t="shared" si="11"/>
        <v>102</v>
      </c>
      <c r="C260" t="str">
        <f t="shared" si="14"/>
        <v>11</v>
      </c>
      <c r="D260" t="str">
        <f>"13"</f>
        <v>13</v>
      </c>
      <c r="E260" t="str">
        <f>"102-11-13"</f>
        <v>102-11-13</v>
      </c>
      <c r="F260" t="s">
        <v>18</v>
      </c>
      <c r="G260" t="s">
        <v>20</v>
      </c>
      <c r="H260">
        <v>1</v>
      </c>
      <c r="K260">
        <v>1</v>
      </c>
      <c r="L260">
        <v>0</v>
      </c>
      <c r="M260">
        <v>0</v>
      </c>
      <c r="N260">
        <v>1</v>
      </c>
    </row>
    <row r="261" spans="1:16" x14ac:dyDescent="0.25">
      <c r="A261" t="str">
        <f>"257"</f>
        <v>257</v>
      </c>
      <c r="B261" t="str">
        <f t="shared" ref="B261:B324" si="15">"102"</f>
        <v>102</v>
      </c>
      <c r="C261" t="str">
        <f t="shared" si="14"/>
        <v>11</v>
      </c>
      <c r="D261" t="str">
        <f>"3"</f>
        <v>3</v>
      </c>
      <c r="E261" t="str">
        <f>"102-11-3"</f>
        <v>102-11-3</v>
      </c>
      <c r="F261" t="s">
        <v>18</v>
      </c>
      <c r="G261" t="s">
        <v>19</v>
      </c>
      <c r="H261">
        <v>2</v>
      </c>
      <c r="I261">
        <v>1</v>
      </c>
      <c r="J261">
        <v>1</v>
      </c>
      <c r="K261">
        <v>0</v>
      </c>
      <c r="L261">
        <v>1</v>
      </c>
      <c r="M261">
        <v>0</v>
      </c>
      <c r="N261">
        <v>1</v>
      </c>
      <c r="O261">
        <v>0</v>
      </c>
      <c r="P261">
        <v>1</v>
      </c>
    </row>
    <row r="262" spans="1:16" x14ac:dyDescent="0.25">
      <c r="A262" t="str">
        <f>"258"</f>
        <v>258</v>
      </c>
      <c r="B262" t="str">
        <f t="shared" si="15"/>
        <v>102</v>
      </c>
      <c r="C262" t="str">
        <f t="shared" si="14"/>
        <v>11</v>
      </c>
      <c r="D262" t="str">
        <f>"22"</f>
        <v>22</v>
      </c>
      <c r="E262" t="str">
        <f>"102-11-22"</f>
        <v>102-11-22</v>
      </c>
      <c r="F262" t="s">
        <v>18</v>
      </c>
      <c r="G262" t="s">
        <v>19</v>
      </c>
      <c r="H262">
        <v>2</v>
      </c>
      <c r="I262">
        <v>1</v>
      </c>
      <c r="J262">
        <v>1</v>
      </c>
      <c r="K262">
        <v>0</v>
      </c>
      <c r="L262">
        <v>1</v>
      </c>
      <c r="M262">
        <v>0</v>
      </c>
      <c r="N262">
        <v>1</v>
      </c>
      <c r="O262">
        <v>1</v>
      </c>
      <c r="P262">
        <v>0</v>
      </c>
    </row>
    <row r="263" spans="1:16" x14ac:dyDescent="0.25">
      <c r="A263" t="str">
        <f>"259"</f>
        <v>259</v>
      </c>
      <c r="B263" t="str">
        <f t="shared" si="15"/>
        <v>102</v>
      </c>
      <c r="C263" t="str">
        <f t="shared" si="14"/>
        <v>11</v>
      </c>
      <c r="D263" t="str">
        <f>"14"</f>
        <v>14</v>
      </c>
      <c r="E263" t="str">
        <f>"102-11-14"</f>
        <v>102-11-14</v>
      </c>
      <c r="F263" t="s">
        <v>18</v>
      </c>
      <c r="G263" t="s">
        <v>20</v>
      </c>
      <c r="H263">
        <v>1</v>
      </c>
      <c r="K263">
        <v>0</v>
      </c>
      <c r="L263">
        <v>1</v>
      </c>
      <c r="M263">
        <v>0</v>
      </c>
      <c r="N263">
        <v>1</v>
      </c>
    </row>
    <row r="264" spans="1:16" x14ac:dyDescent="0.25">
      <c r="A264" t="str">
        <f>"260"</f>
        <v>260</v>
      </c>
      <c r="B264" t="str">
        <f t="shared" si="15"/>
        <v>102</v>
      </c>
      <c r="C264" t="str">
        <f t="shared" si="14"/>
        <v>11</v>
      </c>
      <c r="D264" t="str">
        <f>"9"</f>
        <v>9</v>
      </c>
      <c r="E264" t="str">
        <f>"102-11-9"</f>
        <v>102-11-9</v>
      </c>
      <c r="F264" t="s">
        <v>18</v>
      </c>
      <c r="G264" t="s">
        <v>19</v>
      </c>
      <c r="H264">
        <v>2</v>
      </c>
      <c r="I264">
        <v>1</v>
      </c>
      <c r="J264">
        <v>1</v>
      </c>
      <c r="K264">
        <v>0</v>
      </c>
      <c r="L264">
        <v>1</v>
      </c>
      <c r="M264">
        <v>0</v>
      </c>
      <c r="N264">
        <v>1</v>
      </c>
      <c r="O264">
        <v>1</v>
      </c>
      <c r="P264">
        <v>0</v>
      </c>
    </row>
    <row r="265" spans="1:16" x14ac:dyDescent="0.25">
      <c r="A265" t="str">
        <f>"261"</f>
        <v>261</v>
      </c>
      <c r="B265" t="str">
        <f t="shared" si="15"/>
        <v>102</v>
      </c>
      <c r="C265" t="str">
        <f t="shared" si="14"/>
        <v>11</v>
      </c>
      <c r="D265" t="str">
        <f>"21"</f>
        <v>21</v>
      </c>
      <c r="E265" t="str">
        <f>"102-11-21"</f>
        <v>102-11-21</v>
      </c>
      <c r="F265" t="s">
        <v>18</v>
      </c>
      <c r="G265" t="s">
        <v>19</v>
      </c>
      <c r="H265">
        <v>2</v>
      </c>
      <c r="I265">
        <v>1</v>
      </c>
      <c r="J265">
        <v>1</v>
      </c>
      <c r="K265">
        <v>1</v>
      </c>
      <c r="L265">
        <v>0</v>
      </c>
      <c r="M265">
        <v>1</v>
      </c>
      <c r="N265">
        <v>0</v>
      </c>
      <c r="O265">
        <v>0</v>
      </c>
      <c r="P265">
        <v>1</v>
      </c>
    </row>
    <row r="266" spans="1:16" x14ac:dyDescent="0.25">
      <c r="A266" t="str">
        <f>"262"</f>
        <v>262</v>
      </c>
      <c r="B266" t="str">
        <f t="shared" si="15"/>
        <v>102</v>
      </c>
      <c r="C266" t="str">
        <f t="shared" si="14"/>
        <v>11</v>
      </c>
      <c r="D266" t="str">
        <f>"15"</f>
        <v>15</v>
      </c>
      <c r="E266" t="str">
        <f>"102-11-15"</f>
        <v>102-11-15</v>
      </c>
      <c r="F266" t="s">
        <v>18</v>
      </c>
      <c r="G266" t="s">
        <v>20</v>
      </c>
      <c r="H266">
        <v>1</v>
      </c>
      <c r="K266">
        <v>0</v>
      </c>
      <c r="L266">
        <v>1</v>
      </c>
      <c r="M266">
        <v>0</v>
      </c>
      <c r="N266">
        <v>1</v>
      </c>
    </row>
    <row r="267" spans="1:16" x14ac:dyDescent="0.25">
      <c r="A267" t="str">
        <f>"263"</f>
        <v>263</v>
      </c>
      <c r="B267" t="str">
        <f t="shared" si="15"/>
        <v>102</v>
      </c>
      <c r="C267" t="str">
        <f t="shared" si="14"/>
        <v>11</v>
      </c>
      <c r="D267" t="str">
        <f>"8"</f>
        <v>8</v>
      </c>
      <c r="E267" t="str">
        <f>"102-11-8"</f>
        <v>102-11-8</v>
      </c>
      <c r="F267" t="s">
        <v>18</v>
      </c>
      <c r="G267" t="s">
        <v>19</v>
      </c>
      <c r="H267">
        <v>2</v>
      </c>
      <c r="I267">
        <v>0</v>
      </c>
      <c r="J267">
        <v>0</v>
      </c>
      <c r="K267">
        <v>1</v>
      </c>
      <c r="L267">
        <v>0</v>
      </c>
      <c r="M267">
        <v>1</v>
      </c>
      <c r="N267">
        <v>0</v>
      </c>
      <c r="O267">
        <v>1</v>
      </c>
      <c r="P267">
        <v>0</v>
      </c>
    </row>
    <row r="268" spans="1:16" x14ac:dyDescent="0.25">
      <c r="A268" t="str">
        <f>"264"</f>
        <v>264</v>
      </c>
      <c r="B268" t="str">
        <f t="shared" si="15"/>
        <v>102</v>
      </c>
      <c r="C268" t="str">
        <f t="shared" si="14"/>
        <v>11</v>
      </c>
      <c r="D268" t="str">
        <f>"16"</f>
        <v>16</v>
      </c>
      <c r="E268" t="str">
        <f>"102-11-16"</f>
        <v>102-11-16</v>
      </c>
      <c r="F268" t="s">
        <v>18</v>
      </c>
      <c r="G268" t="s">
        <v>20</v>
      </c>
      <c r="H268">
        <v>1</v>
      </c>
      <c r="K268">
        <v>0</v>
      </c>
      <c r="L268">
        <v>1</v>
      </c>
      <c r="M268">
        <v>0</v>
      </c>
      <c r="N268">
        <v>1</v>
      </c>
    </row>
    <row r="269" spans="1:16" x14ac:dyDescent="0.25">
      <c r="A269" t="str">
        <f>"265"</f>
        <v>265</v>
      </c>
      <c r="B269" t="str">
        <f t="shared" si="15"/>
        <v>102</v>
      </c>
      <c r="C269" t="str">
        <f t="shared" si="14"/>
        <v>11</v>
      </c>
      <c r="D269" t="str">
        <f>"6"</f>
        <v>6</v>
      </c>
      <c r="E269" t="str">
        <f>"102-11-6"</f>
        <v>102-11-6</v>
      </c>
      <c r="F269" t="s">
        <v>18</v>
      </c>
      <c r="G269" t="s">
        <v>19</v>
      </c>
      <c r="H269">
        <v>2</v>
      </c>
      <c r="I269">
        <v>1</v>
      </c>
      <c r="J269">
        <v>1</v>
      </c>
      <c r="K269">
        <v>1</v>
      </c>
      <c r="L269">
        <v>0</v>
      </c>
      <c r="M269">
        <v>1</v>
      </c>
      <c r="N269">
        <v>0</v>
      </c>
      <c r="O269">
        <v>1</v>
      </c>
      <c r="P269">
        <v>0</v>
      </c>
    </row>
    <row r="270" spans="1:16" x14ac:dyDescent="0.25">
      <c r="A270" t="str">
        <f>"266"</f>
        <v>266</v>
      </c>
      <c r="B270" t="str">
        <f t="shared" si="15"/>
        <v>102</v>
      </c>
      <c r="C270" t="str">
        <f t="shared" si="14"/>
        <v>11</v>
      </c>
      <c r="D270" t="str">
        <f>"24"</f>
        <v>24</v>
      </c>
      <c r="E270" t="str">
        <f>"102-11-24"</f>
        <v>102-11-24</v>
      </c>
      <c r="F270" t="s">
        <v>18</v>
      </c>
      <c r="G270" t="s">
        <v>20</v>
      </c>
      <c r="H270">
        <v>1</v>
      </c>
      <c r="K270">
        <v>1</v>
      </c>
      <c r="L270">
        <v>0</v>
      </c>
      <c r="M270">
        <v>1</v>
      </c>
      <c r="N270">
        <v>0</v>
      </c>
    </row>
    <row r="271" spans="1:16" x14ac:dyDescent="0.25">
      <c r="A271" t="str">
        <f>"267"</f>
        <v>267</v>
      </c>
      <c r="B271" t="str">
        <f t="shared" si="15"/>
        <v>102</v>
      </c>
      <c r="C271" t="str">
        <f t="shared" si="14"/>
        <v>11</v>
      </c>
      <c r="D271" t="str">
        <f>"17"</f>
        <v>17</v>
      </c>
      <c r="E271" t="str">
        <f>"102-11-17"</f>
        <v>102-11-17</v>
      </c>
      <c r="F271" t="s">
        <v>18</v>
      </c>
      <c r="G271" t="s">
        <v>20</v>
      </c>
      <c r="H271">
        <v>1</v>
      </c>
      <c r="K271">
        <v>0</v>
      </c>
      <c r="L271">
        <v>1</v>
      </c>
      <c r="M271">
        <v>0</v>
      </c>
      <c r="N271">
        <v>1</v>
      </c>
    </row>
    <row r="272" spans="1:16" x14ac:dyDescent="0.25">
      <c r="A272" t="str">
        <f>"268"</f>
        <v>268</v>
      </c>
      <c r="B272" t="str">
        <f t="shared" si="15"/>
        <v>102</v>
      </c>
      <c r="C272" t="str">
        <f t="shared" si="14"/>
        <v>11</v>
      </c>
      <c r="D272" t="str">
        <f>"7"</f>
        <v>7</v>
      </c>
      <c r="E272" t="str">
        <f>"102-11-7"</f>
        <v>102-11-7</v>
      </c>
      <c r="F272" t="s">
        <v>18</v>
      </c>
      <c r="G272" t="s">
        <v>19</v>
      </c>
      <c r="H272">
        <v>2</v>
      </c>
      <c r="I272">
        <v>0</v>
      </c>
      <c r="J272">
        <v>0</v>
      </c>
      <c r="K272">
        <v>1</v>
      </c>
      <c r="L272">
        <v>0</v>
      </c>
      <c r="M272">
        <v>1</v>
      </c>
      <c r="N272">
        <v>0</v>
      </c>
      <c r="O272">
        <v>1</v>
      </c>
      <c r="P272">
        <v>0</v>
      </c>
    </row>
    <row r="273" spans="1:16" x14ac:dyDescent="0.25">
      <c r="A273" t="str">
        <f>"269"</f>
        <v>269</v>
      </c>
      <c r="B273" t="str">
        <f t="shared" si="15"/>
        <v>102</v>
      </c>
      <c r="C273" t="str">
        <f t="shared" si="14"/>
        <v>11</v>
      </c>
      <c r="D273" t="str">
        <f>"18"</f>
        <v>18</v>
      </c>
      <c r="E273" t="str">
        <f>"102-11-18"</f>
        <v>102-11-18</v>
      </c>
      <c r="F273" t="s">
        <v>18</v>
      </c>
      <c r="G273" t="s">
        <v>20</v>
      </c>
      <c r="H273">
        <v>1</v>
      </c>
      <c r="K273">
        <v>1</v>
      </c>
      <c r="L273">
        <v>0</v>
      </c>
      <c r="M273">
        <v>1</v>
      </c>
      <c r="N273">
        <v>0</v>
      </c>
    </row>
    <row r="274" spans="1:16" x14ac:dyDescent="0.25">
      <c r="A274" t="str">
        <f>"270"</f>
        <v>270</v>
      </c>
      <c r="B274" t="str">
        <f t="shared" si="15"/>
        <v>102</v>
      </c>
      <c r="C274" t="str">
        <f t="shared" si="14"/>
        <v>11</v>
      </c>
      <c r="D274" t="str">
        <f>"2"</f>
        <v>2</v>
      </c>
      <c r="E274" t="str">
        <f>"102-11-2"</f>
        <v>102-11-2</v>
      </c>
      <c r="F274" t="s">
        <v>18</v>
      </c>
      <c r="G274" t="s">
        <v>19</v>
      </c>
      <c r="H274">
        <v>2</v>
      </c>
      <c r="I274">
        <v>1</v>
      </c>
      <c r="J274">
        <v>1</v>
      </c>
      <c r="K274">
        <v>0</v>
      </c>
      <c r="L274">
        <v>1</v>
      </c>
      <c r="M274">
        <v>0</v>
      </c>
      <c r="N274">
        <v>1</v>
      </c>
      <c r="O274">
        <v>0</v>
      </c>
      <c r="P274">
        <v>1</v>
      </c>
    </row>
    <row r="275" spans="1:16" x14ac:dyDescent="0.25">
      <c r="A275" t="str">
        <f>"271"</f>
        <v>271</v>
      </c>
      <c r="B275" t="str">
        <f t="shared" si="15"/>
        <v>102</v>
      </c>
      <c r="C275" t="str">
        <f t="shared" si="14"/>
        <v>11</v>
      </c>
      <c r="D275" t="str">
        <f>"25"</f>
        <v>25</v>
      </c>
      <c r="E275" t="str">
        <f>"102-11-25"</f>
        <v>102-11-25</v>
      </c>
      <c r="F275" t="s">
        <v>18</v>
      </c>
      <c r="G275" t="s">
        <v>20</v>
      </c>
      <c r="H275">
        <v>1</v>
      </c>
      <c r="K275">
        <v>1</v>
      </c>
      <c r="L275">
        <v>0</v>
      </c>
      <c r="M275">
        <v>0</v>
      </c>
      <c r="N275">
        <v>1</v>
      </c>
    </row>
    <row r="276" spans="1:16" x14ac:dyDescent="0.25">
      <c r="A276" t="str">
        <f>"272"</f>
        <v>272</v>
      </c>
      <c r="B276" t="str">
        <f t="shared" si="15"/>
        <v>102</v>
      </c>
      <c r="C276" t="str">
        <f t="shared" si="14"/>
        <v>11</v>
      </c>
      <c r="D276" t="str">
        <f>"19"</f>
        <v>19</v>
      </c>
      <c r="E276" t="str">
        <f>"102-11-19"</f>
        <v>102-11-19</v>
      </c>
      <c r="F276" t="s">
        <v>18</v>
      </c>
      <c r="G276" t="s">
        <v>20</v>
      </c>
      <c r="H276">
        <v>1</v>
      </c>
      <c r="K276">
        <v>1</v>
      </c>
      <c r="L276">
        <v>0</v>
      </c>
      <c r="M276">
        <v>1</v>
      </c>
      <c r="N276">
        <v>0</v>
      </c>
    </row>
    <row r="277" spans="1:16" x14ac:dyDescent="0.25">
      <c r="A277" t="str">
        <f>"273"</f>
        <v>273</v>
      </c>
      <c r="B277" t="str">
        <f t="shared" si="15"/>
        <v>102</v>
      </c>
      <c r="C277" t="str">
        <f t="shared" si="14"/>
        <v>11</v>
      </c>
      <c r="D277" t="str">
        <f>"10"</f>
        <v>10</v>
      </c>
      <c r="E277" t="str">
        <f>"102-11-10"</f>
        <v>102-11-10</v>
      </c>
      <c r="F277" t="s">
        <v>18</v>
      </c>
      <c r="G277" t="s">
        <v>19</v>
      </c>
      <c r="H277">
        <v>2</v>
      </c>
      <c r="I277">
        <v>1</v>
      </c>
      <c r="J277">
        <v>1</v>
      </c>
      <c r="K277">
        <v>0</v>
      </c>
      <c r="L277">
        <v>1</v>
      </c>
      <c r="M277">
        <v>0</v>
      </c>
      <c r="N277">
        <v>1</v>
      </c>
      <c r="O277">
        <v>1</v>
      </c>
      <c r="P277">
        <v>0</v>
      </c>
    </row>
    <row r="278" spans="1:16" x14ac:dyDescent="0.25">
      <c r="A278" t="str">
        <f>"274"</f>
        <v>274</v>
      </c>
      <c r="B278" t="str">
        <f t="shared" si="15"/>
        <v>102</v>
      </c>
      <c r="C278" t="str">
        <f t="shared" si="14"/>
        <v>11</v>
      </c>
      <c r="D278" t="str">
        <f>"20"</f>
        <v>20</v>
      </c>
      <c r="E278" t="str">
        <f>"102-11-20"</f>
        <v>102-11-20</v>
      </c>
      <c r="F278" t="s">
        <v>18</v>
      </c>
      <c r="G278" t="s">
        <v>19</v>
      </c>
      <c r="H278">
        <v>2</v>
      </c>
      <c r="I278">
        <v>1</v>
      </c>
      <c r="J278">
        <v>1</v>
      </c>
      <c r="K278">
        <v>0</v>
      </c>
      <c r="L278">
        <v>1</v>
      </c>
      <c r="M278">
        <v>0</v>
      </c>
      <c r="N278">
        <v>1</v>
      </c>
      <c r="O278">
        <v>0</v>
      </c>
      <c r="P278">
        <v>1</v>
      </c>
    </row>
    <row r="279" spans="1:16" x14ac:dyDescent="0.25">
      <c r="A279" t="str">
        <f>"275"</f>
        <v>275</v>
      </c>
      <c r="B279" t="str">
        <f t="shared" si="15"/>
        <v>102</v>
      </c>
      <c r="C279" t="str">
        <f t="shared" si="14"/>
        <v>11</v>
      </c>
      <c r="D279" t="str">
        <f>"1"</f>
        <v>1</v>
      </c>
      <c r="E279" t="str">
        <f>"102-11-1"</f>
        <v>102-11-1</v>
      </c>
      <c r="F279" t="s">
        <v>18</v>
      </c>
      <c r="G279" t="s">
        <v>19</v>
      </c>
      <c r="H279">
        <v>2</v>
      </c>
      <c r="I279">
        <v>1</v>
      </c>
      <c r="J279">
        <v>1</v>
      </c>
      <c r="K279">
        <v>1</v>
      </c>
      <c r="L279">
        <v>0</v>
      </c>
      <c r="M279">
        <v>1</v>
      </c>
      <c r="N279">
        <v>0</v>
      </c>
      <c r="O279">
        <v>1</v>
      </c>
      <c r="P279">
        <v>0</v>
      </c>
    </row>
    <row r="280" spans="1:16" x14ac:dyDescent="0.25">
      <c r="A280" t="str">
        <f>"276"</f>
        <v>276</v>
      </c>
      <c r="B280" t="str">
        <f t="shared" si="15"/>
        <v>102</v>
      </c>
      <c r="C280" t="str">
        <f t="shared" ref="C280:C304" si="16">"12"</f>
        <v>12</v>
      </c>
      <c r="D280" t="str">
        <f>"22"</f>
        <v>22</v>
      </c>
      <c r="E280" t="str">
        <f>"102-12-22"</f>
        <v>102-12-22</v>
      </c>
      <c r="F280" t="s">
        <v>18</v>
      </c>
      <c r="G280" t="s">
        <v>20</v>
      </c>
      <c r="H280">
        <v>1</v>
      </c>
      <c r="K280">
        <v>0</v>
      </c>
      <c r="L280">
        <v>1</v>
      </c>
      <c r="M280">
        <v>0</v>
      </c>
      <c r="N280">
        <v>1</v>
      </c>
    </row>
    <row r="281" spans="1:16" x14ac:dyDescent="0.25">
      <c r="A281" t="str">
        <f>"277"</f>
        <v>277</v>
      </c>
      <c r="B281" t="str">
        <f t="shared" si="15"/>
        <v>102</v>
      </c>
      <c r="C281" t="str">
        <f t="shared" si="16"/>
        <v>12</v>
      </c>
      <c r="D281" t="str">
        <f>"11"</f>
        <v>11</v>
      </c>
      <c r="E281" t="str">
        <f>"102-12-11"</f>
        <v>102-12-11</v>
      </c>
      <c r="F281" t="s">
        <v>18</v>
      </c>
      <c r="G281" t="s">
        <v>20</v>
      </c>
      <c r="H281">
        <v>1</v>
      </c>
      <c r="K281">
        <v>0</v>
      </c>
      <c r="L281">
        <v>1</v>
      </c>
      <c r="M281">
        <v>0</v>
      </c>
      <c r="N281">
        <v>1</v>
      </c>
    </row>
    <row r="282" spans="1:16" x14ac:dyDescent="0.25">
      <c r="A282" t="str">
        <f>"278"</f>
        <v>278</v>
      </c>
      <c r="B282" t="str">
        <f t="shared" si="15"/>
        <v>102</v>
      </c>
      <c r="C282" t="str">
        <f t="shared" si="16"/>
        <v>12</v>
      </c>
      <c r="D282" t="str">
        <f>"2"</f>
        <v>2</v>
      </c>
      <c r="E282" t="str">
        <f>"102-12-2"</f>
        <v>102-12-2</v>
      </c>
      <c r="F282" t="s">
        <v>18</v>
      </c>
      <c r="G282" t="s">
        <v>20</v>
      </c>
      <c r="H282">
        <v>1</v>
      </c>
      <c r="K282">
        <v>0</v>
      </c>
      <c r="L282">
        <v>1</v>
      </c>
      <c r="M282">
        <v>0</v>
      </c>
      <c r="N282">
        <v>1</v>
      </c>
    </row>
    <row r="283" spans="1:16" x14ac:dyDescent="0.25">
      <c r="A283" t="str">
        <f>"279"</f>
        <v>279</v>
      </c>
      <c r="B283" t="str">
        <f t="shared" si="15"/>
        <v>102</v>
      </c>
      <c r="C283" t="str">
        <f t="shared" si="16"/>
        <v>12</v>
      </c>
      <c r="D283" t="str">
        <f>"23"</f>
        <v>23</v>
      </c>
      <c r="E283" t="str">
        <f>"102-12-23"</f>
        <v>102-12-23</v>
      </c>
      <c r="F283" t="s">
        <v>18</v>
      </c>
      <c r="G283" t="s">
        <v>19</v>
      </c>
      <c r="H283">
        <v>2</v>
      </c>
      <c r="I283">
        <v>0</v>
      </c>
      <c r="J283">
        <v>1</v>
      </c>
      <c r="K283">
        <v>1</v>
      </c>
      <c r="L283">
        <v>0</v>
      </c>
      <c r="M283">
        <v>1</v>
      </c>
      <c r="N283">
        <v>0</v>
      </c>
      <c r="O283">
        <v>1</v>
      </c>
      <c r="P283">
        <v>0</v>
      </c>
    </row>
    <row r="284" spans="1:16" x14ac:dyDescent="0.25">
      <c r="A284" t="str">
        <f>"280"</f>
        <v>280</v>
      </c>
      <c r="B284" t="str">
        <f t="shared" si="15"/>
        <v>102</v>
      </c>
      <c r="C284" t="str">
        <f t="shared" si="16"/>
        <v>12</v>
      </c>
      <c r="D284" t="str">
        <f>"12"</f>
        <v>12</v>
      </c>
      <c r="E284" t="str">
        <f>"102-12-12"</f>
        <v>102-12-12</v>
      </c>
      <c r="F284" t="s">
        <v>18</v>
      </c>
      <c r="G284" t="s">
        <v>20</v>
      </c>
      <c r="H284">
        <v>1</v>
      </c>
      <c r="K284">
        <v>0</v>
      </c>
      <c r="L284">
        <v>1</v>
      </c>
      <c r="M284">
        <v>0</v>
      </c>
      <c r="N284">
        <v>1</v>
      </c>
    </row>
    <row r="285" spans="1:16" x14ac:dyDescent="0.25">
      <c r="A285" t="str">
        <f>"281"</f>
        <v>281</v>
      </c>
      <c r="B285" t="str">
        <f t="shared" si="15"/>
        <v>102</v>
      </c>
      <c r="C285" t="str">
        <f t="shared" si="16"/>
        <v>12</v>
      </c>
      <c r="D285" t="str">
        <f>"7"</f>
        <v>7</v>
      </c>
      <c r="E285" t="str">
        <f>"102-12-7"</f>
        <v>102-12-7</v>
      </c>
      <c r="F285" t="s">
        <v>18</v>
      </c>
      <c r="G285" t="s">
        <v>20</v>
      </c>
      <c r="H285">
        <v>1</v>
      </c>
      <c r="K285">
        <v>0</v>
      </c>
      <c r="L285">
        <v>1</v>
      </c>
      <c r="M285">
        <v>0</v>
      </c>
      <c r="N285">
        <v>1</v>
      </c>
    </row>
    <row r="286" spans="1:16" x14ac:dyDescent="0.25">
      <c r="A286" t="str">
        <f>"282"</f>
        <v>282</v>
      </c>
      <c r="B286" t="str">
        <f t="shared" si="15"/>
        <v>102</v>
      </c>
      <c r="C286" t="str">
        <f t="shared" si="16"/>
        <v>12</v>
      </c>
      <c r="D286" t="str">
        <f>"25"</f>
        <v>25</v>
      </c>
      <c r="E286" t="str">
        <f>"102-12-25"</f>
        <v>102-12-25</v>
      </c>
      <c r="F286" t="s">
        <v>18</v>
      </c>
      <c r="G286" t="s">
        <v>20</v>
      </c>
      <c r="H286">
        <v>1</v>
      </c>
      <c r="K286">
        <v>1</v>
      </c>
      <c r="L286">
        <v>0</v>
      </c>
      <c r="M286">
        <v>1</v>
      </c>
      <c r="N286">
        <v>0</v>
      </c>
    </row>
    <row r="287" spans="1:16" x14ac:dyDescent="0.25">
      <c r="A287" t="str">
        <f>"283"</f>
        <v>283</v>
      </c>
      <c r="B287" t="str">
        <f t="shared" si="15"/>
        <v>102</v>
      </c>
      <c r="C287" t="str">
        <f t="shared" si="16"/>
        <v>12</v>
      </c>
      <c r="D287" t="str">
        <f>"13"</f>
        <v>13</v>
      </c>
      <c r="E287" t="str">
        <f>"102-12-13"</f>
        <v>102-12-13</v>
      </c>
      <c r="F287" t="s">
        <v>18</v>
      </c>
      <c r="G287" t="s">
        <v>20</v>
      </c>
      <c r="H287">
        <v>1</v>
      </c>
      <c r="K287">
        <v>0</v>
      </c>
      <c r="L287">
        <v>1</v>
      </c>
      <c r="M287">
        <v>0</v>
      </c>
      <c r="N287">
        <v>1</v>
      </c>
    </row>
    <row r="288" spans="1:16" x14ac:dyDescent="0.25">
      <c r="A288" t="str">
        <f>"284"</f>
        <v>284</v>
      </c>
      <c r="B288" t="str">
        <f t="shared" si="15"/>
        <v>102</v>
      </c>
      <c r="C288" t="str">
        <f t="shared" si="16"/>
        <v>12</v>
      </c>
      <c r="D288" t="str">
        <f>"10"</f>
        <v>10</v>
      </c>
      <c r="E288" t="str">
        <f>"102-12-10"</f>
        <v>102-12-10</v>
      </c>
      <c r="F288" t="s">
        <v>18</v>
      </c>
      <c r="G288" t="s">
        <v>20</v>
      </c>
      <c r="H288">
        <v>1</v>
      </c>
      <c r="K288">
        <v>1</v>
      </c>
      <c r="L288">
        <v>0</v>
      </c>
      <c r="M288">
        <v>1</v>
      </c>
      <c r="N288">
        <v>0</v>
      </c>
    </row>
    <row r="289" spans="1:16" x14ac:dyDescent="0.25">
      <c r="A289" t="str">
        <f>"285"</f>
        <v>285</v>
      </c>
      <c r="B289" t="str">
        <f t="shared" si="15"/>
        <v>102</v>
      </c>
      <c r="C289" t="str">
        <f t="shared" si="16"/>
        <v>12</v>
      </c>
      <c r="D289" t="str">
        <f>"21"</f>
        <v>21</v>
      </c>
      <c r="E289" t="str">
        <f>"102-12-21"</f>
        <v>102-12-21</v>
      </c>
      <c r="F289" t="s">
        <v>18</v>
      </c>
      <c r="G289" t="s">
        <v>20</v>
      </c>
      <c r="H289">
        <v>1</v>
      </c>
      <c r="K289">
        <v>0</v>
      </c>
      <c r="L289">
        <v>1</v>
      </c>
      <c r="M289">
        <v>0</v>
      </c>
      <c r="N289">
        <v>1</v>
      </c>
    </row>
    <row r="290" spans="1:16" x14ac:dyDescent="0.25">
      <c r="A290" t="str">
        <f>"286"</f>
        <v>286</v>
      </c>
      <c r="B290" t="str">
        <f t="shared" si="15"/>
        <v>102</v>
      </c>
      <c r="C290" t="str">
        <f t="shared" si="16"/>
        <v>12</v>
      </c>
      <c r="D290" t="str">
        <f>"14"</f>
        <v>14</v>
      </c>
      <c r="E290" t="str">
        <f>"102-12-14"</f>
        <v>102-12-14</v>
      </c>
      <c r="F290" t="s">
        <v>18</v>
      </c>
      <c r="G290" t="s">
        <v>20</v>
      </c>
      <c r="H290">
        <v>1</v>
      </c>
      <c r="K290">
        <v>0</v>
      </c>
      <c r="L290">
        <v>1</v>
      </c>
      <c r="M290">
        <v>0</v>
      </c>
      <c r="N290">
        <v>1</v>
      </c>
    </row>
    <row r="291" spans="1:16" x14ac:dyDescent="0.25">
      <c r="A291" t="str">
        <f>"287"</f>
        <v>287</v>
      </c>
      <c r="B291" t="str">
        <f t="shared" si="15"/>
        <v>102</v>
      </c>
      <c r="C291" t="str">
        <f t="shared" si="16"/>
        <v>12</v>
      </c>
      <c r="D291" t="str">
        <f>"9"</f>
        <v>9</v>
      </c>
      <c r="E291" t="str">
        <f>"102-12-9"</f>
        <v>102-12-9</v>
      </c>
      <c r="F291" t="s">
        <v>18</v>
      </c>
      <c r="G291" t="s">
        <v>20</v>
      </c>
      <c r="H291">
        <v>1</v>
      </c>
      <c r="K291">
        <v>0</v>
      </c>
      <c r="L291">
        <v>1</v>
      </c>
      <c r="M291">
        <v>0</v>
      </c>
      <c r="N291">
        <v>1</v>
      </c>
    </row>
    <row r="292" spans="1:16" x14ac:dyDescent="0.25">
      <c r="A292" t="str">
        <f>"288"</f>
        <v>288</v>
      </c>
      <c r="B292" t="str">
        <f t="shared" si="15"/>
        <v>102</v>
      </c>
      <c r="C292" t="str">
        <f t="shared" si="16"/>
        <v>12</v>
      </c>
      <c r="D292" t="str">
        <f>"15"</f>
        <v>15</v>
      </c>
      <c r="E292" t="str">
        <f>"102-12-15"</f>
        <v>102-12-15</v>
      </c>
      <c r="F292" t="s">
        <v>18</v>
      </c>
      <c r="G292" t="s">
        <v>20</v>
      </c>
      <c r="H292">
        <v>1</v>
      </c>
      <c r="K292">
        <v>0</v>
      </c>
      <c r="L292">
        <v>1</v>
      </c>
      <c r="M292">
        <v>0</v>
      </c>
      <c r="N292">
        <v>1</v>
      </c>
    </row>
    <row r="293" spans="1:16" x14ac:dyDescent="0.25">
      <c r="A293" t="str">
        <f>"289"</f>
        <v>289</v>
      </c>
      <c r="B293" t="str">
        <f t="shared" si="15"/>
        <v>102</v>
      </c>
      <c r="C293" t="str">
        <f t="shared" si="16"/>
        <v>12</v>
      </c>
      <c r="D293" t="str">
        <f>"5"</f>
        <v>5</v>
      </c>
      <c r="E293" t="str">
        <f>"102-12-5"</f>
        <v>102-12-5</v>
      </c>
      <c r="F293" t="s">
        <v>18</v>
      </c>
      <c r="G293" t="s">
        <v>20</v>
      </c>
      <c r="H293">
        <v>1</v>
      </c>
      <c r="K293">
        <v>0</v>
      </c>
      <c r="L293">
        <v>1</v>
      </c>
      <c r="M293">
        <v>0</v>
      </c>
      <c r="N293">
        <v>1</v>
      </c>
    </row>
    <row r="294" spans="1:16" x14ac:dyDescent="0.25">
      <c r="A294" t="str">
        <f>"290"</f>
        <v>290</v>
      </c>
      <c r="B294" t="str">
        <f t="shared" si="15"/>
        <v>102</v>
      </c>
      <c r="C294" t="str">
        <f t="shared" si="16"/>
        <v>12</v>
      </c>
      <c r="D294" t="str">
        <f>"24"</f>
        <v>24</v>
      </c>
      <c r="E294" t="str">
        <f>"102-12-24"</f>
        <v>102-12-24</v>
      </c>
      <c r="F294" t="s">
        <v>18</v>
      </c>
      <c r="G294" t="s">
        <v>20</v>
      </c>
      <c r="H294">
        <v>1</v>
      </c>
      <c r="K294">
        <v>1</v>
      </c>
      <c r="L294">
        <v>0</v>
      </c>
      <c r="M294">
        <v>1</v>
      </c>
      <c r="N294">
        <v>0</v>
      </c>
    </row>
    <row r="295" spans="1:16" x14ac:dyDescent="0.25">
      <c r="A295" t="str">
        <f>"291"</f>
        <v>291</v>
      </c>
      <c r="B295" t="str">
        <f t="shared" si="15"/>
        <v>102</v>
      </c>
      <c r="C295" t="str">
        <f t="shared" si="16"/>
        <v>12</v>
      </c>
      <c r="D295" t="str">
        <f>"16"</f>
        <v>16</v>
      </c>
      <c r="E295" t="str">
        <f>"102-12-16"</f>
        <v>102-12-16</v>
      </c>
      <c r="F295" t="s">
        <v>18</v>
      </c>
      <c r="G295" t="s">
        <v>20</v>
      </c>
      <c r="H295">
        <v>1</v>
      </c>
      <c r="K295">
        <v>0</v>
      </c>
      <c r="L295">
        <v>1</v>
      </c>
      <c r="M295">
        <v>0</v>
      </c>
      <c r="N295">
        <v>1</v>
      </c>
    </row>
    <row r="296" spans="1:16" x14ac:dyDescent="0.25">
      <c r="A296" t="str">
        <f>"292"</f>
        <v>292</v>
      </c>
      <c r="B296" t="str">
        <f t="shared" si="15"/>
        <v>102</v>
      </c>
      <c r="C296" t="str">
        <f t="shared" si="16"/>
        <v>12</v>
      </c>
      <c r="D296" t="str">
        <f>"1"</f>
        <v>1</v>
      </c>
      <c r="E296" t="str">
        <f>"102-12-1"</f>
        <v>102-12-1</v>
      </c>
      <c r="F296" t="s">
        <v>18</v>
      </c>
      <c r="G296" t="s">
        <v>19</v>
      </c>
      <c r="H296">
        <v>2</v>
      </c>
      <c r="I296">
        <v>0</v>
      </c>
      <c r="J296">
        <v>1</v>
      </c>
      <c r="K296">
        <v>0</v>
      </c>
      <c r="L296">
        <v>1</v>
      </c>
      <c r="M296">
        <v>0</v>
      </c>
      <c r="N296">
        <v>1</v>
      </c>
      <c r="O296">
        <v>0</v>
      </c>
      <c r="P296">
        <v>1</v>
      </c>
    </row>
    <row r="297" spans="1:16" x14ac:dyDescent="0.25">
      <c r="A297" t="str">
        <f>"293"</f>
        <v>293</v>
      </c>
      <c r="B297" t="str">
        <f t="shared" si="15"/>
        <v>102</v>
      </c>
      <c r="C297" t="str">
        <f t="shared" si="16"/>
        <v>12</v>
      </c>
      <c r="D297" t="str">
        <f>"17"</f>
        <v>17</v>
      </c>
      <c r="E297" t="str">
        <f>"102-12-17"</f>
        <v>102-12-17</v>
      </c>
      <c r="F297" t="s">
        <v>18</v>
      </c>
      <c r="G297" t="s">
        <v>19</v>
      </c>
      <c r="H297">
        <v>2</v>
      </c>
      <c r="I297">
        <v>0</v>
      </c>
      <c r="J297">
        <v>1</v>
      </c>
      <c r="K297">
        <v>1</v>
      </c>
      <c r="L297">
        <v>0</v>
      </c>
      <c r="M297">
        <v>1</v>
      </c>
      <c r="N297">
        <v>0</v>
      </c>
      <c r="O297">
        <v>1</v>
      </c>
      <c r="P297">
        <v>0</v>
      </c>
    </row>
    <row r="298" spans="1:16" x14ac:dyDescent="0.25">
      <c r="A298" t="str">
        <f>"294"</f>
        <v>294</v>
      </c>
      <c r="B298" t="str">
        <f t="shared" si="15"/>
        <v>102</v>
      </c>
      <c r="C298" t="str">
        <f t="shared" si="16"/>
        <v>12</v>
      </c>
      <c r="D298" t="str">
        <f>"6"</f>
        <v>6</v>
      </c>
      <c r="E298" t="str">
        <f>"102-12-6"</f>
        <v>102-12-6</v>
      </c>
      <c r="F298" t="s">
        <v>18</v>
      </c>
      <c r="G298" t="s">
        <v>19</v>
      </c>
      <c r="H298">
        <v>2</v>
      </c>
      <c r="I298">
        <v>0</v>
      </c>
      <c r="J298">
        <v>1</v>
      </c>
      <c r="K298">
        <v>0</v>
      </c>
      <c r="L298">
        <v>1</v>
      </c>
      <c r="M298">
        <v>0</v>
      </c>
      <c r="N298">
        <v>1</v>
      </c>
      <c r="O298">
        <v>0</v>
      </c>
      <c r="P298">
        <v>1</v>
      </c>
    </row>
    <row r="299" spans="1:16" x14ac:dyDescent="0.25">
      <c r="A299" t="str">
        <f>"295"</f>
        <v>295</v>
      </c>
      <c r="B299" t="str">
        <f t="shared" si="15"/>
        <v>102</v>
      </c>
      <c r="C299" t="str">
        <f t="shared" si="16"/>
        <v>12</v>
      </c>
      <c r="D299" t="str">
        <f>"18"</f>
        <v>18</v>
      </c>
      <c r="E299" t="str">
        <f>"102-12-18"</f>
        <v>102-12-18</v>
      </c>
      <c r="F299" t="s">
        <v>18</v>
      </c>
      <c r="G299" t="s">
        <v>20</v>
      </c>
      <c r="H299">
        <v>1</v>
      </c>
      <c r="K299">
        <v>0</v>
      </c>
      <c r="L299">
        <v>1</v>
      </c>
      <c r="M299">
        <v>0</v>
      </c>
      <c r="N299">
        <v>1</v>
      </c>
    </row>
    <row r="300" spans="1:16" x14ac:dyDescent="0.25">
      <c r="A300" t="str">
        <f>"296"</f>
        <v>296</v>
      </c>
      <c r="B300" t="str">
        <f t="shared" si="15"/>
        <v>102</v>
      </c>
      <c r="C300" t="str">
        <f t="shared" si="16"/>
        <v>12</v>
      </c>
      <c r="D300" t="str">
        <f>"4"</f>
        <v>4</v>
      </c>
      <c r="E300" t="str">
        <f>"102-12-4"</f>
        <v>102-12-4</v>
      </c>
      <c r="F300" t="s">
        <v>18</v>
      </c>
      <c r="G300" t="s">
        <v>19</v>
      </c>
      <c r="H300">
        <v>2</v>
      </c>
      <c r="I300">
        <v>1</v>
      </c>
      <c r="J300">
        <v>1</v>
      </c>
      <c r="K300">
        <v>0</v>
      </c>
      <c r="L300">
        <v>1</v>
      </c>
      <c r="M300">
        <v>0</v>
      </c>
      <c r="N300">
        <v>1</v>
      </c>
      <c r="O300">
        <v>0</v>
      </c>
      <c r="P300">
        <v>1</v>
      </c>
    </row>
    <row r="301" spans="1:16" x14ac:dyDescent="0.25">
      <c r="A301" t="str">
        <f>"297"</f>
        <v>297</v>
      </c>
      <c r="B301" t="str">
        <f t="shared" si="15"/>
        <v>102</v>
      </c>
      <c r="C301" t="str">
        <f t="shared" si="16"/>
        <v>12</v>
      </c>
      <c r="D301" t="str">
        <f>"19"</f>
        <v>19</v>
      </c>
      <c r="E301" t="str">
        <f>"102-12-19"</f>
        <v>102-12-19</v>
      </c>
      <c r="F301" t="s">
        <v>18</v>
      </c>
      <c r="G301" t="s">
        <v>20</v>
      </c>
      <c r="H301">
        <v>1</v>
      </c>
      <c r="K301">
        <v>0</v>
      </c>
      <c r="L301">
        <v>1</v>
      </c>
      <c r="M301">
        <v>0</v>
      </c>
      <c r="N301">
        <v>1</v>
      </c>
    </row>
    <row r="302" spans="1:16" x14ac:dyDescent="0.25">
      <c r="A302" t="str">
        <f>"298"</f>
        <v>298</v>
      </c>
      <c r="B302" t="str">
        <f t="shared" si="15"/>
        <v>102</v>
      </c>
      <c r="C302" t="str">
        <f t="shared" si="16"/>
        <v>12</v>
      </c>
      <c r="D302" t="str">
        <f>"8"</f>
        <v>8</v>
      </c>
      <c r="E302" t="str">
        <f>"102-12-8"</f>
        <v>102-12-8</v>
      </c>
      <c r="F302" t="s">
        <v>18</v>
      </c>
      <c r="G302" t="s">
        <v>19</v>
      </c>
      <c r="H302">
        <v>2</v>
      </c>
      <c r="I302">
        <v>0</v>
      </c>
      <c r="J302">
        <v>1</v>
      </c>
      <c r="K302">
        <v>0</v>
      </c>
      <c r="L302">
        <v>1</v>
      </c>
      <c r="M302">
        <v>0</v>
      </c>
      <c r="N302">
        <v>1</v>
      </c>
      <c r="O302">
        <v>0</v>
      </c>
      <c r="P302">
        <v>1</v>
      </c>
    </row>
    <row r="303" spans="1:16" x14ac:dyDescent="0.25">
      <c r="A303" t="str">
        <f>"299"</f>
        <v>299</v>
      </c>
      <c r="B303" t="str">
        <f t="shared" si="15"/>
        <v>102</v>
      </c>
      <c r="C303" t="str">
        <f t="shared" si="16"/>
        <v>12</v>
      </c>
      <c r="D303" t="str">
        <f>"20"</f>
        <v>20</v>
      </c>
      <c r="E303" t="str">
        <f>"102-12-20"</f>
        <v>102-12-20</v>
      </c>
      <c r="F303" t="s">
        <v>18</v>
      </c>
      <c r="G303" t="s">
        <v>20</v>
      </c>
      <c r="H303">
        <v>1</v>
      </c>
      <c r="K303">
        <v>0</v>
      </c>
      <c r="L303">
        <v>1</v>
      </c>
      <c r="M303">
        <v>0</v>
      </c>
      <c r="N303">
        <v>1</v>
      </c>
    </row>
    <row r="304" spans="1:16" x14ac:dyDescent="0.25">
      <c r="A304" t="str">
        <f>"300"</f>
        <v>300</v>
      </c>
      <c r="B304" t="str">
        <f t="shared" si="15"/>
        <v>102</v>
      </c>
      <c r="C304" t="str">
        <f t="shared" si="16"/>
        <v>12</v>
      </c>
      <c r="D304" t="str">
        <f>"3"</f>
        <v>3</v>
      </c>
      <c r="E304" t="str">
        <f>"102-12-3"</f>
        <v>102-12-3</v>
      </c>
      <c r="F304" t="s">
        <v>18</v>
      </c>
      <c r="G304" t="s">
        <v>19</v>
      </c>
      <c r="H304">
        <v>2</v>
      </c>
      <c r="I304">
        <v>1</v>
      </c>
      <c r="J304">
        <v>1</v>
      </c>
      <c r="K304">
        <v>1</v>
      </c>
      <c r="L304">
        <v>0</v>
      </c>
      <c r="M304">
        <v>0</v>
      </c>
      <c r="N304">
        <v>1</v>
      </c>
      <c r="O304">
        <v>0</v>
      </c>
      <c r="P304">
        <v>1</v>
      </c>
    </row>
    <row r="305" spans="1:16" x14ac:dyDescent="0.25">
      <c r="A305" t="str">
        <f>"301"</f>
        <v>301</v>
      </c>
      <c r="B305" t="str">
        <f t="shared" si="15"/>
        <v>102</v>
      </c>
      <c r="C305" t="str">
        <f t="shared" ref="C305:C329" si="17">"13"</f>
        <v>13</v>
      </c>
      <c r="D305" t="str">
        <f>"22"</f>
        <v>22</v>
      </c>
      <c r="E305" t="str">
        <f>"102-13-22"</f>
        <v>102-13-22</v>
      </c>
      <c r="F305" t="s">
        <v>18</v>
      </c>
      <c r="G305" t="s">
        <v>19</v>
      </c>
      <c r="H305">
        <v>2</v>
      </c>
      <c r="I305">
        <v>1</v>
      </c>
      <c r="J305">
        <v>0</v>
      </c>
      <c r="K305">
        <v>0</v>
      </c>
      <c r="L305">
        <v>1</v>
      </c>
      <c r="M305">
        <v>1</v>
      </c>
      <c r="N305">
        <v>0</v>
      </c>
      <c r="O305">
        <v>1</v>
      </c>
      <c r="P305">
        <v>0</v>
      </c>
    </row>
    <row r="306" spans="1:16" x14ac:dyDescent="0.25">
      <c r="A306" t="str">
        <f>"302"</f>
        <v>302</v>
      </c>
      <c r="B306" t="str">
        <f t="shared" si="15"/>
        <v>102</v>
      </c>
      <c r="C306" t="str">
        <f t="shared" si="17"/>
        <v>13</v>
      </c>
      <c r="D306" t="str">
        <f>"11"</f>
        <v>11</v>
      </c>
      <c r="E306" t="str">
        <f>"102-13-11"</f>
        <v>102-13-11</v>
      </c>
      <c r="F306" t="s">
        <v>18</v>
      </c>
      <c r="G306" t="s">
        <v>20</v>
      </c>
      <c r="H306">
        <v>1</v>
      </c>
      <c r="K306">
        <v>0</v>
      </c>
      <c r="L306">
        <v>1</v>
      </c>
      <c r="M306">
        <v>0</v>
      </c>
      <c r="N306">
        <v>1</v>
      </c>
    </row>
    <row r="307" spans="1:16" x14ac:dyDescent="0.25">
      <c r="A307" t="str">
        <f>"303"</f>
        <v>303</v>
      </c>
      <c r="B307" t="str">
        <f t="shared" si="15"/>
        <v>102</v>
      </c>
      <c r="C307" t="str">
        <f t="shared" si="17"/>
        <v>13</v>
      </c>
      <c r="D307" t="str">
        <f>"1"</f>
        <v>1</v>
      </c>
      <c r="E307" t="str">
        <f>"102-13-1"</f>
        <v>102-13-1</v>
      </c>
      <c r="F307" t="s">
        <v>18</v>
      </c>
      <c r="G307" t="s">
        <v>20</v>
      </c>
      <c r="H307">
        <v>1</v>
      </c>
      <c r="K307">
        <v>1</v>
      </c>
      <c r="L307">
        <v>0</v>
      </c>
      <c r="M307">
        <v>1</v>
      </c>
      <c r="N307">
        <v>0</v>
      </c>
    </row>
    <row r="308" spans="1:16" x14ac:dyDescent="0.25">
      <c r="A308" t="str">
        <f>"304"</f>
        <v>304</v>
      </c>
      <c r="B308" t="str">
        <f t="shared" si="15"/>
        <v>102</v>
      </c>
      <c r="C308" t="str">
        <f t="shared" si="17"/>
        <v>13</v>
      </c>
      <c r="D308" t="str">
        <f>"21"</f>
        <v>21</v>
      </c>
      <c r="E308" t="str">
        <f>"102-13-21"</f>
        <v>102-13-21</v>
      </c>
      <c r="F308" t="s">
        <v>18</v>
      </c>
      <c r="G308" t="s">
        <v>20</v>
      </c>
      <c r="H308">
        <v>1</v>
      </c>
      <c r="K308">
        <v>1</v>
      </c>
      <c r="L308">
        <v>0</v>
      </c>
      <c r="M308">
        <v>1</v>
      </c>
      <c r="N308">
        <v>0</v>
      </c>
    </row>
    <row r="309" spans="1:16" x14ac:dyDescent="0.25">
      <c r="A309" t="str">
        <f>"305"</f>
        <v>305</v>
      </c>
      <c r="B309" t="str">
        <f t="shared" si="15"/>
        <v>102</v>
      </c>
      <c r="C309" t="str">
        <f t="shared" si="17"/>
        <v>13</v>
      </c>
      <c r="D309" t="str">
        <f>"12"</f>
        <v>12</v>
      </c>
      <c r="E309" t="str">
        <f>"102-13-12"</f>
        <v>102-13-12</v>
      </c>
      <c r="F309" t="s">
        <v>18</v>
      </c>
      <c r="G309" t="s">
        <v>20</v>
      </c>
      <c r="H309">
        <v>1</v>
      </c>
      <c r="K309">
        <v>1</v>
      </c>
      <c r="L309">
        <v>0</v>
      </c>
      <c r="M309">
        <v>0</v>
      </c>
      <c r="N309">
        <v>0</v>
      </c>
    </row>
    <row r="310" spans="1:16" x14ac:dyDescent="0.25">
      <c r="A310" t="str">
        <f>"306"</f>
        <v>306</v>
      </c>
      <c r="B310" t="str">
        <f t="shared" si="15"/>
        <v>102</v>
      </c>
      <c r="C310" t="str">
        <f t="shared" si="17"/>
        <v>13</v>
      </c>
      <c r="D310" t="str">
        <f>"2"</f>
        <v>2</v>
      </c>
      <c r="E310" t="str">
        <f>"102-13-2"</f>
        <v>102-13-2</v>
      </c>
      <c r="F310" t="s">
        <v>18</v>
      </c>
      <c r="G310" t="s">
        <v>20</v>
      </c>
      <c r="H310">
        <v>1</v>
      </c>
      <c r="K310">
        <v>1</v>
      </c>
      <c r="L310">
        <v>0</v>
      </c>
      <c r="M310">
        <v>1</v>
      </c>
      <c r="N310">
        <v>0</v>
      </c>
    </row>
    <row r="311" spans="1:16" x14ac:dyDescent="0.25">
      <c r="A311" t="str">
        <f>"307"</f>
        <v>307</v>
      </c>
      <c r="B311" t="str">
        <f t="shared" si="15"/>
        <v>102</v>
      </c>
      <c r="C311" t="str">
        <f t="shared" si="17"/>
        <v>13</v>
      </c>
      <c r="D311" t="str">
        <f>"23"</f>
        <v>23</v>
      </c>
      <c r="E311" t="str">
        <f>"102-13-23"</f>
        <v>102-13-23</v>
      </c>
      <c r="F311" t="s">
        <v>18</v>
      </c>
      <c r="G311" t="s">
        <v>19</v>
      </c>
      <c r="H311">
        <v>2</v>
      </c>
      <c r="I311">
        <v>0</v>
      </c>
      <c r="J311">
        <v>0</v>
      </c>
      <c r="K311">
        <v>1</v>
      </c>
      <c r="L311">
        <v>0</v>
      </c>
      <c r="M311">
        <v>1</v>
      </c>
      <c r="N311">
        <v>0</v>
      </c>
      <c r="O311">
        <v>1</v>
      </c>
      <c r="P311">
        <v>0</v>
      </c>
    </row>
    <row r="312" spans="1:16" x14ac:dyDescent="0.25">
      <c r="A312" t="str">
        <f>"308"</f>
        <v>308</v>
      </c>
      <c r="B312" t="str">
        <f t="shared" si="15"/>
        <v>102</v>
      </c>
      <c r="C312" t="str">
        <f t="shared" si="17"/>
        <v>13</v>
      </c>
      <c r="D312" t="str">
        <f>"13"</f>
        <v>13</v>
      </c>
      <c r="E312" t="str">
        <f>"102-13-13"</f>
        <v>102-13-13</v>
      </c>
      <c r="F312" t="s">
        <v>18</v>
      </c>
      <c r="G312" t="s">
        <v>20</v>
      </c>
      <c r="H312">
        <v>1</v>
      </c>
      <c r="K312">
        <v>1</v>
      </c>
      <c r="L312">
        <v>0</v>
      </c>
      <c r="M312">
        <v>0</v>
      </c>
      <c r="N312">
        <v>0</v>
      </c>
    </row>
    <row r="313" spans="1:16" x14ac:dyDescent="0.25">
      <c r="A313" t="str">
        <f>"309"</f>
        <v>309</v>
      </c>
      <c r="B313" t="str">
        <f t="shared" si="15"/>
        <v>102</v>
      </c>
      <c r="C313" t="str">
        <f t="shared" si="17"/>
        <v>13</v>
      </c>
      <c r="D313" t="str">
        <f>"3"</f>
        <v>3</v>
      </c>
      <c r="E313" t="str">
        <f>"102-13-3"</f>
        <v>102-13-3</v>
      </c>
      <c r="F313" t="s">
        <v>18</v>
      </c>
      <c r="G313" t="s">
        <v>20</v>
      </c>
      <c r="H313">
        <v>1</v>
      </c>
      <c r="K313">
        <v>0</v>
      </c>
      <c r="L313">
        <v>1</v>
      </c>
      <c r="M313">
        <v>0</v>
      </c>
      <c r="N313">
        <v>1</v>
      </c>
    </row>
    <row r="314" spans="1:16" x14ac:dyDescent="0.25">
      <c r="A314" t="str">
        <f>"310"</f>
        <v>310</v>
      </c>
      <c r="B314" t="str">
        <f t="shared" si="15"/>
        <v>102</v>
      </c>
      <c r="C314" t="str">
        <f t="shared" si="17"/>
        <v>13</v>
      </c>
      <c r="D314" t="str">
        <f>"24"</f>
        <v>24</v>
      </c>
      <c r="E314" t="str">
        <f>"102-13-24"</f>
        <v>102-13-24</v>
      </c>
      <c r="F314" t="s">
        <v>18</v>
      </c>
      <c r="G314" t="s">
        <v>19</v>
      </c>
      <c r="H314">
        <v>2</v>
      </c>
      <c r="I314">
        <v>0</v>
      </c>
      <c r="J314">
        <v>1</v>
      </c>
      <c r="K314">
        <v>0</v>
      </c>
      <c r="L314">
        <v>1</v>
      </c>
      <c r="M314">
        <v>0</v>
      </c>
      <c r="N314">
        <v>1</v>
      </c>
      <c r="O314">
        <v>0</v>
      </c>
      <c r="P314">
        <v>1</v>
      </c>
    </row>
    <row r="315" spans="1:16" x14ac:dyDescent="0.25">
      <c r="A315" t="str">
        <f>"311"</f>
        <v>311</v>
      </c>
      <c r="B315" t="str">
        <f t="shared" si="15"/>
        <v>102</v>
      </c>
      <c r="C315" t="str">
        <f t="shared" si="17"/>
        <v>13</v>
      </c>
      <c r="D315" t="str">
        <f>"14"</f>
        <v>14</v>
      </c>
      <c r="E315" t="str">
        <f>"102-13-14"</f>
        <v>102-13-14</v>
      </c>
      <c r="F315" t="s">
        <v>18</v>
      </c>
      <c r="G315" t="s">
        <v>20</v>
      </c>
      <c r="H315">
        <v>1</v>
      </c>
      <c r="K315">
        <v>1</v>
      </c>
      <c r="L315">
        <v>0</v>
      </c>
      <c r="M315">
        <v>1</v>
      </c>
      <c r="N315">
        <v>0</v>
      </c>
    </row>
    <row r="316" spans="1:16" x14ac:dyDescent="0.25">
      <c r="A316" t="str">
        <f>"312"</f>
        <v>312</v>
      </c>
      <c r="B316" t="str">
        <f t="shared" si="15"/>
        <v>102</v>
      </c>
      <c r="C316" t="str">
        <f t="shared" si="17"/>
        <v>13</v>
      </c>
      <c r="D316" t="str">
        <f>"6"</f>
        <v>6</v>
      </c>
      <c r="E316" t="str">
        <f>"102-13-6"</f>
        <v>102-13-6</v>
      </c>
      <c r="F316" t="s">
        <v>18</v>
      </c>
      <c r="G316" t="s">
        <v>20</v>
      </c>
      <c r="H316">
        <v>1</v>
      </c>
      <c r="K316">
        <v>0</v>
      </c>
      <c r="L316">
        <v>1</v>
      </c>
      <c r="M316">
        <v>0</v>
      </c>
      <c r="N316">
        <v>1</v>
      </c>
    </row>
    <row r="317" spans="1:16" x14ac:dyDescent="0.25">
      <c r="A317" t="str">
        <f>"313"</f>
        <v>313</v>
      </c>
      <c r="B317" t="str">
        <f t="shared" si="15"/>
        <v>102</v>
      </c>
      <c r="C317" t="str">
        <f t="shared" si="17"/>
        <v>13</v>
      </c>
      <c r="D317" t="str">
        <f>"25"</f>
        <v>25</v>
      </c>
      <c r="E317" t="str">
        <f>"102-13-25"</f>
        <v>102-13-25</v>
      </c>
      <c r="F317" t="s">
        <v>18</v>
      </c>
      <c r="G317" t="s">
        <v>19</v>
      </c>
      <c r="H317">
        <v>2</v>
      </c>
      <c r="I317">
        <v>0</v>
      </c>
      <c r="J317">
        <v>0</v>
      </c>
      <c r="K317">
        <v>1</v>
      </c>
      <c r="L317">
        <v>0</v>
      </c>
      <c r="M317">
        <v>1</v>
      </c>
      <c r="N317">
        <v>0</v>
      </c>
      <c r="O317">
        <v>1</v>
      </c>
      <c r="P317">
        <v>0</v>
      </c>
    </row>
    <row r="318" spans="1:16" x14ac:dyDescent="0.25">
      <c r="A318" t="str">
        <f>"314"</f>
        <v>314</v>
      </c>
      <c r="B318" t="str">
        <f t="shared" si="15"/>
        <v>102</v>
      </c>
      <c r="C318" t="str">
        <f t="shared" si="17"/>
        <v>13</v>
      </c>
      <c r="D318" t="str">
        <f>"15"</f>
        <v>15</v>
      </c>
      <c r="E318" t="str">
        <f>"102-13-15"</f>
        <v>102-13-15</v>
      </c>
      <c r="F318" t="s">
        <v>18</v>
      </c>
      <c r="G318" t="s">
        <v>20</v>
      </c>
      <c r="H318">
        <v>1</v>
      </c>
      <c r="K318">
        <v>0</v>
      </c>
      <c r="L318">
        <v>1</v>
      </c>
      <c r="M318">
        <v>0</v>
      </c>
      <c r="N318">
        <v>1</v>
      </c>
    </row>
    <row r="319" spans="1:16" x14ac:dyDescent="0.25">
      <c r="A319" t="str">
        <f>"315"</f>
        <v>315</v>
      </c>
      <c r="B319" t="str">
        <f t="shared" si="15"/>
        <v>102</v>
      </c>
      <c r="C319" t="str">
        <f t="shared" si="17"/>
        <v>13</v>
      </c>
      <c r="D319" t="str">
        <f>"7"</f>
        <v>7</v>
      </c>
      <c r="E319" t="str">
        <f>"102-13-7"</f>
        <v>102-13-7</v>
      </c>
      <c r="F319" t="s">
        <v>18</v>
      </c>
      <c r="G319" t="s">
        <v>20</v>
      </c>
      <c r="H319">
        <v>1</v>
      </c>
      <c r="K319">
        <v>0</v>
      </c>
      <c r="L319">
        <v>1</v>
      </c>
      <c r="M319">
        <v>0</v>
      </c>
      <c r="N319">
        <v>1</v>
      </c>
    </row>
    <row r="320" spans="1:16" x14ac:dyDescent="0.25">
      <c r="A320" t="str">
        <f>"316"</f>
        <v>316</v>
      </c>
      <c r="B320" t="str">
        <f t="shared" si="15"/>
        <v>102</v>
      </c>
      <c r="C320" t="str">
        <f t="shared" si="17"/>
        <v>13</v>
      </c>
      <c r="D320" t="str">
        <f>"17"</f>
        <v>17</v>
      </c>
      <c r="E320" t="str">
        <f>"102-13-17"</f>
        <v>102-13-17</v>
      </c>
      <c r="F320" t="s">
        <v>18</v>
      </c>
      <c r="G320" t="s">
        <v>20</v>
      </c>
      <c r="H320">
        <v>1</v>
      </c>
      <c r="K320">
        <v>1</v>
      </c>
      <c r="L320">
        <v>0</v>
      </c>
      <c r="M320">
        <v>1</v>
      </c>
      <c r="N320">
        <v>0</v>
      </c>
    </row>
    <row r="321" spans="1:16" x14ac:dyDescent="0.25">
      <c r="A321" t="str">
        <f>"317"</f>
        <v>317</v>
      </c>
      <c r="B321" t="str">
        <f t="shared" si="15"/>
        <v>102</v>
      </c>
      <c r="C321" t="str">
        <f t="shared" si="17"/>
        <v>13</v>
      </c>
      <c r="D321" t="str">
        <f>"4"</f>
        <v>4</v>
      </c>
      <c r="E321" t="str">
        <f>"102-13-4"</f>
        <v>102-13-4</v>
      </c>
      <c r="F321" t="s">
        <v>18</v>
      </c>
      <c r="G321" t="s">
        <v>20</v>
      </c>
      <c r="H321">
        <v>1</v>
      </c>
      <c r="K321">
        <v>0</v>
      </c>
      <c r="L321">
        <v>1</v>
      </c>
      <c r="M321">
        <v>0</v>
      </c>
      <c r="N321">
        <v>1</v>
      </c>
    </row>
    <row r="322" spans="1:16" x14ac:dyDescent="0.25">
      <c r="A322" t="str">
        <f>"318"</f>
        <v>318</v>
      </c>
      <c r="B322" t="str">
        <f t="shared" si="15"/>
        <v>102</v>
      </c>
      <c r="C322" t="str">
        <f t="shared" si="17"/>
        <v>13</v>
      </c>
      <c r="D322" t="str">
        <f>"16"</f>
        <v>16</v>
      </c>
      <c r="E322" t="str">
        <f>"102-13-16"</f>
        <v>102-13-16</v>
      </c>
      <c r="F322" t="s">
        <v>18</v>
      </c>
      <c r="G322" t="s">
        <v>20</v>
      </c>
      <c r="H322">
        <v>1</v>
      </c>
      <c r="K322">
        <v>0</v>
      </c>
      <c r="L322">
        <v>1</v>
      </c>
      <c r="M322">
        <v>0</v>
      </c>
      <c r="N322">
        <v>1</v>
      </c>
    </row>
    <row r="323" spans="1:16" x14ac:dyDescent="0.25">
      <c r="A323" t="str">
        <f>"319"</f>
        <v>319</v>
      </c>
      <c r="B323" t="str">
        <f t="shared" si="15"/>
        <v>102</v>
      </c>
      <c r="C323" t="str">
        <f t="shared" si="17"/>
        <v>13</v>
      </c>
      <c r="D323" t="str">
        <f>"5"</f>
        <v>5</v>
      </c>
      <c r="E323" t="str">
        <f>"102-13-5"</f>
        <v>102-13-5</v>
      </c>
      <c r="F323" t="s">
        <v>18</v>
      </c>
      <c r="G323" t="s">
        <v>20</v>
      </c>
      <c r="H323">
        <v>1</v>
      </c>
      <c r="K323">
        <v>0</v>
      </c>
      <c r="L323">
        <v>1</v>
      </c>
      <c r="M323">
        <v>0</v>
      </c>
      <c r="N323">
        <v>1</v>
      </c>
    </row>
    <row r="324" spans="1:16" x14ac:dyDescent="0.25">
      <c r="A324" t="str">
        <f>"320"</f>
        <v>320</v>
      </c>
      <c r="B324" t="str">
        <f t="shared" si="15"/>
        <v>102</v>
      </c>
      <c r="C324" t="str">
        <f t="shared" si="17"/>
        <v>13</v>
      </c>
      <c r="D324" t="str">
        <f>"8"</f>
        <v>8</v>
      </c>
      <c r="E324" t="str">
        <f>"102-13-8"</f>
        <v>102-13-8</v>
      </c>
      <c r="F324" t="s">
        <v>18</v>
      </c>
      <c r="G324" t="s">
        <v>20</v>
      </c>
      <c r="H324">
        <v>1</v>
      </c>
      <c r="K324">
        <v>0</v>
      </c>
      <c r="L324">
        <v>1</v>
      </c>
      <c r="M324">
        <v>0</v>
      </c>
      <c r="N324">
        <v>1</v>
      </c>
    </row>
    <row r="325" spans="1:16" x14ac:dyDescent="0.25">
      <c r="A325" t="str">
        <f>"321"</f>
        <v>321</v>
      </c>
      <c r="B325" t="str">
        <f t="shared" ref="B325:B388" si="18">"102"</f>
        <v>102</v>
      </c>
      <c r="C325" t="str">
        <f t="shared" si="17"/>
        <v>13</v>
      </c>
      <c r="D325" t="str">
        <f>"19"</f>
        <v>19</v>
      </c>
      <c r="E325" t="str">
        <f>"102-13-19"</f>
        <v>102-13-19</v>
      </c>
      <c r="F325" t="s">
        <v>18</v>
      </c>
      <c r="G325" t="s">
        <v>19</v>
      </c>
      <c r="H325">
        <v>2</v>
      </c>
      <c r="I325">
        <v>1</v>
      </c>
      <c r="J325">
        <v>1</v>
      </c>
      <c r="K325">
        <v>1</v>
      </c>
      <c r="L325">
        <v>0</v>
      </c>
      <c r="M325">
        <v>1</v>
      </c>
      <c r="N325">
        <v>0</v>
      </c>
      <c r="O325">
        <v>1</v>
      </c>
      <c r="P325">
        <v>0</v>
      </c>
    </row>
    <row r="326" spans="1:16" x14ac:dyDescent="0.25">
      <c r="A326" t="str">
        <f>"322"</f>
        <v>322</v>
      </c>
      <c r="B326" t="str">
        <f t="shared" si="18"/>
        <v>102</v>
      </c>
      <c r="C326" t="str">
        <f t="shared" si="17"/>
        <v>13</v>
      </c>
      <c r="D326" t="str">
        <f>"9"</f>
        <v>9</v>
      </c>
      <c r="E326" t="str">
        <f>"102-13-9"</f>
        <v>102-13-9</v>
      </c>
      <c r="F326" t="s">
        <v>18</v>
      </c>
      <c r="G326" t="s">
        <v>20</v>
      </c>
      <c r="H326">
        <v>1</v>
      </c>
      <c r="K326">
        <v>0</v>
      </c>
      <c r="L326">
        <v>1</v>
      </c>
      <c r="M326">
        <v>0</v>
      </c>
      <c r="N326">
        <v>1</v>
      </c>
    </row>
    <row r="327" spans="1:16" x14ac:dyDescent="0.25">
      <c r="A327" t="str">
        <f>"323"</f>
        <v>323</v>
      </c>
      <c r="B327" t="str">
        <f t="shared" si="18"/>
        <v>102</v>
      </c>
      <c r="C327" t="str">
        <f t="shared" si="17"/>
        <v>13</v>
      </c>
      <c r="D327" t="str">
        <f>"20"</f>
        <v>20</v>
      </c>
      <c r="E327" t="str">
        <f>"102-13-20"</f>
        <v>102-13-20</v>
      </c>
      <c r="F327" t="s">
        <v>18</v>
      </c>
      <c r="G327" t="s">
        <v>20</v>
      </c>
      <c r="H327">
        <v>1</v>
      </c>
      <c r="K327">
        <v>0</v>
      </c>
      <c r="L327">
        <v>1</v>
      </c>
      <c r="M327">
        <v>0</v>
      </c>
      <c r="N327">
        <v>1</v>
      </c>
    </row>
    <row r="328" spans="1:16" x14ac:dyDescent="0.25">
      <c r="A328" t="str">
        <f>"324"</f>
        <v>324</v>
      </c>
      <c r="B328" t="str">
        <f t="shared" si="18"/>
        <v>102</v>
      </c>
      <c r="C328" t="str">
        <f t="shared" si="17"/>
        <v>13</v>
      </c>
      <c r="D328" t="str">
        <f>"10"</f>
        <v>10</v>
      </c>
      <c r="E328" t="str">
        <f>"102-13-10"</f>
        <v>102-13-10</v>
      </c>
      <c r="F328" t="s">
        <v>18</v>
      </c>
      <c r="G328" t="s">
        <v>20</v>
      </c>
      <c r="H328">
        <v>1</v>
      </c>
      <c r="K328">
        <v>0</v>
      </c>
      <c r="L328">
        <v>1</v>
      </c>
      <c r="M328">
        <v>0</v>
      </c>
      <c r="N328">
        <v>1</v>
      </c>
    </row>
    <row r="329" spans="1:16" x14ac:dyDescent="0.25">
      <c r="A329" t="str">
        <f>"325"</f>
        <v>325</v>
      </c>
      <c r="B329" t="str">
        <f t="shared" si="18"/>
        <v>102</v>
      </c>
      <c r="C329" t="str">
        <f t="shared" si="17"/>
        <v>13</v>
      </c>
      <c r="D329" t="str">
        <f>"18"</f>
        <v>18</v>
      </c>
      <c r="E329" t="str">
        <f>"102-13-18"</f>
        <v>102-13-18</v>
      </c>
      <c r="F329" t="s">
        <v>18</v>
      </c>
      <c r="G329" t="s">
        <v>19</v>
      </c>
      <c r="H329">
        <v>2</v>
      </c>
      <c r="I329">
        <v>1</v>
      </c>
      <c r="J329">
        <v>1</v>
      </c>
      <c r="K329">
        <v>1</v>
      </c>
      <c r="L329">
        <v>0</v>
      </c>
      <c r="M329">
        <v>1</v>
      </c>
      <c r="N329">
        <v>0</v>
      </c>
      <c r="O329">
        <v>1</v>
      </c>
      <c r="P329">
        <v>0</v>
      </c>
    </row>
    <row r="330" spans="1:16" x14ac:dyDescent="0.25">
      <c r="A330" t="str">
        <f>"326"</f>
        <v>326</v>
      </c>
      <c r="B330" t="str">
        <f t="shared" si="18"/>
        <v>102</v>
      </c>
      <c r="C330" t="str">
        <f t="shared" ref="C330:C354" si="19">"14"</f>
        <v>14</v>
      </c>
      <c r="D330" t="str">
        <f>"22"</f>
        <v>22</v>
      </c>
      <c r="E330" t="str">
        <f>"102-14-22"</f>
        <v>102-14-22</v>
      </c>
      <c r="F330" t="s">
        <v>18</v>
      </c>
      <c r="G330" t="s">
        <v>20</v>
      </c>
      <c r="H330">
        <v>1</v>
      </c>
      <c r="K330">
        <v>0</v>
      </c>
      <c r="L330">
        <v>1</v>
      </c>
      <c r="M330">
        <v>0</v>
      </c>
      <c r="N330">
        <v>1</v>
      </c>
    </row>
    <row r="331" spans="1:16" x14ac:dyDescent="0.25">
      <c r="A331" t="str">
        <f>"327"</f>
        <v>327</v>
      </c>
      <c r="B331" t="str">
        <f t="shared" si="18"/>
        <v>102</v>
      </c>
      <c r="C331" t="str">
        <f t="shared" si="19"/>
        <v>14</v>
      </c>
      <c r="D331" t="str">
        <f>"11"</f>
        <v>11</v>
      </c>
      <c r="E331" t="str">
        <f>"102-14-11"</f>
        <v>102-14-11</v>
      </c>
      <c r="F331" t="s">
        <v>18</v>
      </c>
      <c r="G331" t="s">
        <v>20</v>
      </c>
      <c r="H331">
        <v>1</v>
      </c>
      <c r="K331">
        <v>1</v>
      </c>
      <c r="L331">
        <v>0</v>
      </c>
      <c r="M331">
        <v>1</v>
      </c>
      <c r="N331">
        <v>0</v>
      </c>
    </row>
    <row r="332" spans="1:16" x14ac:dyDescent="0.25">
      <c r="A332" t="str">
        <f>"328"</f>
        <v>328</v>
      </c>
      <c r="B332" t="str">
        <f t="shared" si="18"/>
        <v>102</v>
      </c>
      <c r="C332" t="str">
        <f t="shared" si="19"/>
        <v>14</v>
      </c>
      <c r="D332" t="str">
        <f>"10"</f>
        <v>10</v>
      </c>
      <c r="E332" t="str">
        <f>"102-14-10"</f>
        <v>102-14-10</v>
      </c>
      <c r="F332" t="s">
        <v>18</v>
      </c>
      <c r="G332" t="s">
        <v>20</v>
      </c>
      <c r="H332">
        <v>1</v>
      </c>
      <c r="K332">
        <v>0</v>
      </c>
      <c r="L332">
        <v>1</v>
      </c>
      <c r="M332">
        <v>0</v>
      </c>
      <c r="N332">
        <v>1</v>
      </c>
    </row>
    <row r="333" spans="1:16" x14ac:dyDescent="0.25">
      <c r="A333" t="str">
        <f>"329"</f>
        <v>329</v>
      </c>
      <c r="B333" t="str">
        <f t="shared" si="18"/>
        <v>102</v>
      </c>
      <c r="C333" t="str">
        <f t="shared" si="19"/>
        <v>14</v>
      </c>
      <c r="D333" t="str">
        <f>"23"</f>
        <v>23</v>
      </c>
      <c r="E333" t="str">
        <f>"102-14-23"</f>
        <v>102-14-23</v>
      </c>
      <c r="F333" t="s">
        <v>18</v>
      </c>
      <c r="G333" t="s">
        <v>20</v>
      </c>
      <c r="H333">
        <v>1</v>
      </c>
      <c r="K333">
        <v>1</v>
      </c>
      <c r="L333">
        <v>0</v>
      </c>
      <c r="M333">
        <v>1</v>
      </c>
      <c r="N333">
        <v>0</v>
      </c>
    </row>
    <row r="334" spans="1:16" x14ac:dyDescent="0.25">
      <c r="A334" t="str">
        <f>"330"</f>
        <v>330</v>
      </c>
      <c r="B334" t="str">
        <f t="shared" si="18"/>
        <v>102</v>
      </c>
      <c r="C334" t="str">
        <f t="shared" si="19"/>
        <v>14</v>
      </c>
      <c r="D334" t="str">
        <f>"12"</f>
        <v>12</v>
      </c>
      <c r="E334" t="str">
        <f>"102-14-12"</f>
        <v>102-14-12</v>
      </c>
      <c r="F334" t="s">
        <v>18</v>
      </c>
      <c r="G334" t="s">
        <v>20</v>
      </c>
      <c r="H334">
        <v>1</v>
      </c>
      <c r="K334">
        <v>0</v>
      </c>
      <c r="L334">
        <v>1</v>
      </c>
      <c r="M334">
        <v>0</v>
      </c>
      <c r="N334">
        <v>1</v>
      </c>
    </row>
    <row r="335" spans="1:16" x14ac:dyDescent="0.25">
      <c r="A335" t="str">
        <f>"331"</f>
        <v>331</v>
      </c>
      <c r="B335" t="str">
        <f t="shared" si="18"/>
        <v>102</v>
      </c>
      <c r="C335" t="str">
        <f t="shared" si="19"/>
        <v>14</v>
      </c>
      <c r="D335" t="str">
        <f>"1"</f>
        <v>1</v>
      </c>
      <c r="E335" t="str">
        <f>"102-14-1"</f>
        <v>102-14-1</v>
      </c>
      <c r="F335" t="s">
        <v>18</v>
      </c>
      <c r="G335" t="s">
        <v>19</v>
      </c>
      <c r="H335">
        <v>2</v>
      </c>
      <c r="I335">
        <v>1</v>
      </c>
      <c r="J335">
        <v>1</v>
      </c>
      <c r="K335">
        <v>1</v>
      </c>
      <c r="L335">
        <v>0</v>
      </c>
      <c r="M335">
        <v>0</v>
      </c>
      <c r="N335">
        <v>1</v>
      </c>
      <c r="O335">
        <v>1</v>
      </c>
      <c r="P335">
        <v>0</v>
      </c>
    </row>
    <row r="336" spans="1:16" x14ac:dyDescent="0.25">
      <c r="A336" t="str">
        <f>"332"</f>
        <v>332</v>
      </c>
      <c r="B336" t="str">
        <f t="shared" si="18"/>
        <v>102</v>
      </c>
      <c r="C336" t="str">
        <f t="shared" si="19"/>
        <v>14</v>
      </c>
      <c r="D336" t="str">
        <f>"21"</f>
        <v>21</v>
      </c>
      <c r="E336" t="str">
        <f>"102-14-21"</f>
        <v>102-14-21</v>
      </c>
      <c r="F336" t="s">
        <v>18</v>
      </c>
      <c r="G336" t="s">
        <v>19</v>
      </c>
      <c r="H336">
        <v>2</v>
      </c>
      <c r="I336">
        <v>1</v>
      </c>
      <c r="J336">
        <v>1</v>
      </c>
      <c r="K336">
        <v>1</v>
      </c>
      <c r="L336">
        <v>0</v>
      </c>
      <c r="M336">
        <v>0</v>
      </c>
      <c r="N336">
        <v>1</v>
      </c>
      <c r="O336">
        <v>1</v>
      </c>
      <c r="P336">
        <v>0</v>
      </c>
    </row>
    <row r="337" spans="1:16" x14ac:dyDescent="0.25">
      <c r="A337" t="str">
        <f>"333"</f>
        <v>333</v>
      </c>
      <c r="B337" t="str">
        <f t="shared" si="18"/>
        <v>102</v>
      </c>
      <c r="C337" t="str">
        <f t="shared" si="19"/>
        <v>14</v>
      </c>
      <c r="D337" t="str">
        <f>"13"</f>
        <v>13</v>
      </c>
      <c r="E337" t="str">
        <f>"102-14-13"</f>
        <v>102-14-13</v>
      </c>
      <c r="F337" t="s">
        <v>18</v>
      </c>
      <c r="G337" t="s">
        <v>20</v>
      </c>
      <c r="H337">
        <v>1</v>
      </c>
      <c r="K337">
        <v>0</v>
      </c>
      <c r="L337">
        <v>1</v>
      </c>
      <c r="M337">
        <v>0</v>
      </c>
      <c r="N337">
        <v>1</v>
      </c>
    </row>
    <row r="338" spans="1:16" x14ac:dyDescent="0.25">
      <c r="A338" t="str">
        <f>"334"</f>
        <v>334</v>
      </c>
      <c r="B338" t="str">
        <f t="shared" si="18"/>
        <v>102</v>
      </c>
      <c r="C338" t="str">
        <f t="shared" si="19"/>
        <v>14</v>
      </c>
      <c r="D338" t="str">
        <f>"4"</f>
        <v>4</v>
      </c>
      <c r="E338" t="str">
        <f>"102-14-4"</f>
        <v>102-14-4</v>
      </c>
      <c r="F338" t="s">
        <v>18</v>
      </c>
      <c r="G338" t="s">
        <v>19</v>
      </c>
      <c r="H338">
        <v>2</v>
      </c>
      <c r="I338">
        <v>0</v>
      </c>
      <c r="J338">
        <v>0</v>
      </c>
      <c r="K338">
        <v>1</v>
      </c>
      <c r="L338">
        <v>0</v>
      </c>
      <c r="M338">
        <v>1</v>
      </c>
      <c r="N338">
        <v>0</v>
      </c>
      <c r="O338">
        <v>1</v>
      </c>
      <c r="P338">
        <v>0</v>
      </c>
    </row>
    <row r="339" spans="1:16" x14ac:dyDescent="0.25">
      <c r="A339" t="str">
        <f>"335"</f>
        <v>335</v>
      </c>
      <c r="B339" t="str">
        <f t="shared" si="18"/>
        <v>102</v>
      </c>
      <c r="C339" t="str">
        <f t="shared" si="19"/>
        <v>14</v>
      </c>
      <c r="D339" t="str">
        <f>"24"</f>
        <v>24</v>
      </c>
      <c r="E339" t="str">
        <f>"102-14-24"</f>
        <v>102-14-24</v>
      </c>
      <c r="F339" t="s">
        <v>18</v>
      </c>
      <c r="G339" t="s">
        <v>19</v>
      </c>
      <c r="H339">
        <v>2</v>
      </c>
      <c r="I339">
        <v>1</v>
      </c>
      <c r="J339">
        <v>1</v>
      </c>
      <c r="K339">
        <v>0</v>
      </c>
      <c r="L339">
        <v>1</v>
      </c>
      <c r="M339">
        <v>1</v>
      </c>
      <c r="N339">
        <v>0</v>
      </c>
      <c r="O339">
        <v>0</v>
      </c>
      <c r="P339">
        <v>1</v>
      </c>
    </row>
    <row r="340" spans="1:16" x14ac:dyDescent="0.25">
      <c r="A340" t="str">
        <f>"336"</f>
        <v>336</v>
      </c>
      <c r="B340" t="str">
        <f t="shared" si="18"/>
        <v>102</v>
      </c>
      <c r="C340" t="str">
        <f t="shared" si="19"/>
        <v>14</v>
      </c>
      <c r="D340" t="str">
        <f>"14"</f>
        <v>14</v>
      </c>
      <c r="E340" t="str">
        <f>"102-14-14"</f>
        <v>102-14-14</v>
      </c>
      <c r="F340" t="s">
        <v>18</v>
      </c>
      <c r="G340" t="s">
        <v>20</v>
      </c>
      <c r="H340">
        <v>1</v>
      </c>
      <c r="K340">
        <v>1</v>
      </c>
      <c r="L340">
        <v>0</v>
      </c>
      <c r="M340">
        <v>1</v>
      </c>
      <c r="N340">
        <v>0</v>
      </c>
    </row>
    <row r="341" spans="1:16" x14ac:dyDescent="0.25">
      <c r="A341" t="str">
        <f>"337"</f>
        <v>337</v>
      </c>
      <c r="B341" t="str">
        <f t="shared" si="18"/>
        <v>102</v>
      </c>
      <c r="C341" t="str">
        <f t="shared" si="19"/>
        <v>14</v>
      </c>
      <c r="D341" t="str">
        <f>"5"</f>
        <v>5</v>
      </c>
      <c r="E341" t="str">
        <f>"102-14-5"</f>
        <v>102-14-5</v>
      </c>
      <c r="F341" t="s">
        <v>18</v>
      </c>
      <c r="G341" t="s">
        <v>19</v>
      </c>
      <c r="H341">
        <v>2</v>
      </c>
      <c r="I341">
        <v>1</v>
      </c>
      <c r="J341">
        <v>1</v>
      </c>
      <c r="K341">
        <v>1</v>
      </c>
      <c r="L341">
        <v>0</v>
      </c>
      <c r="M341">
        <v>1</v>
      </c>
      <c r="N341">
        <v>0</v>
      </c>
      <c r="O341">
        <v>0</v>
      </c>
      <c r="P341">
        <v>1</v>
      </c>
    </row>
    <row r="342" spans="1:16" x14ac:dyDescent="0.25">
      <c r="A342" t="str">
        <f>"338"</f>
        <v>338</v>
      </c>
      <c r="B342" t="str">
        <f t="shared" si="18"/>
        <v>102</v>
      </c>
      <c r="C342" t="str">
        <f t="shared" si="19"/>
        <v>14</v>
      </c>
      <c r="D342" t="str">
        <f>"25"</f>
        <v>25</v>
      </c>
      <c r="E342" t="str">
        <f>"102-14-25"</f>
        <v>102-14-25</v>
      </c>
      <c r="F342" t="s">
        <v>18</v>
      </c>
      <c r="G342" t="s">
        <v>19</v>
      </c>
      <c r="H342">
        <v>2</v>
      </c>
      <c r="I342">
        <v>1</v>
      </c>
      <c r="J342">
        <v>1</v>
      </c>
      <c r="K342">
        <v>0</v>
      </c>
      <c r="L342">
        <v>1</v>
      </c>
      <c r="M342">
        <v>1</v>
      </c>
      <c r="N342">
        <v>0</v>
      </c>
      <c r="O342">
        <v>0</v>
      </c>
      <c r="P342">
        <v>1</v>
      </c>
    </row>
    <row r="343" spans="1:16" x14ac:dyDescent="0.25">
      <c r="A343" t="str">
        <f>"339"</f>
        <v>339</v>
      </c>
      <c r="B343" t="str">
        <f t="shared" si="18"/>
        <v>102</v>
      </c>
      <c r="C343" t="str">
        <f t="shared" si="19"/>
        <v>14</v>
      </c>
      <c r="D343" t="str">
        <f>"15"</f>
        <v>15</v>
      </c>
      <c r="E343" t="str">
        <f>"102-14-15"</f>
        <v>102-14-15</v>
      </c>
      <c r="F343" t="s">
        <v>18</v>
      </c>
      <c r="G343" t="s">
        <v>20</v>
      </c>
      <c r="H343">
        <v>1</v>
      </c>
      <c r="K343">
        <v>0</v>
      </c>
      <c r="L343">
        <v>1</v>
      </c>
      <c r="M343">
        <v>0</v>
      </c>
      <c r="N343">
        <v>1</v>
      </c>
    </row>
    <row r="344" spans="1:16" x14ac:dyDescent="0.25">
      <c r="A344" t="str">
        <f>"340"</f>
        <v>340</v>
      </c>
      <c r="B344" t="str">
        <f t="shared" si="18"/>
        <v>102</v>
      </c>
      <c r="C344" t="str">
        <f t="shared" si="19"/>
        <v>14</v>
      </c>
      <c r="D344" t="str">
        <f>"7"</f>
        <v>7</v>
      </c>
      <c r="E344" t="str">
        <f>"102-14-7"</f>
        <v>102-14-7</v>
      </c>
      <c r="F344" t="s">
        <v>18</v>
      </c>
      <c r="G344" t="s">
        <v>19</v>
      </c>
      <c r="H344">
        <v>2</v>
      </c>
      <c r="I344">
        <v>0</v>
      </c>
      <c r="J344">
        <v>1</v>
      </c>
      <c r="K344">
        <v>0</v>
      </c>
      <c r="L344">
        <v>1</v>
      </c>
      <c r="M344">
        <v>0</v>
      </c>
      <c r="N344">
        <v>1</v>
      </c>
      <c r="O344">
        <v>0</v>
      </c>
      <c r="P344">
        <v>1</v>
      </c>
    </row>
    <row r="345" spans="1:16" x14ac:dyDescent="0.25">
      <c r="A345" t="str">
        <f>"341"</f>
        <v>341</v>
      </c>
      <c r="B345" t="str">
        <f t="shared" si="18"/>
        <v>102</v>
      </c>
      <c r="C345" t="str">
        <f t="shared" si="19"/>
        <v>14</v>
      </c>
      <c r="D345" t="str">
        <f>"16"</f>
        <v>16</v>
      </c>
      <c r="E345" t="str">
        <f>"102-14-16"</f>
        <v>102-14-16</v>
      </c>
      <c r="F345" t="s">
        <v>18</v>
      </c>
      <c r="G345" t="s">
        <v>19</v>
      </c>
      <c r="H345">
        <v>2</v>
      </c>
      <c r="I345">
        <v>0</v>
      </c>
      <c r="J345">
        <v>0</v>
      </c>
      <c r="K345">
        <v>0</v>
      </c>
      <c r="L345">
        <v>1</v>
      </c>
      <c r="M345">
        <v>0</v>
      </c>
      <c r="N345">
        <v>1</v>
      </c>
      <c r="O345">
        <v>0</v>
      </c>
      <c r="P345">
        <v>1</v>
      </c>
    </row>
    <row r="346" spans="1:16" x14ac:dyDescent="0.25">
      <c r="A346" t="str">
        <f>"342"</f>
        <v>342</v>
      </c>
      <c r="B346" t="str">
        <f t="shared" si="18"/>
        <v>102</v>
      </c>
      <c r="C346" t="str">
        <f t="shared" si="19"/>
        <v>14</v>
      </c>
      <c r="D346" t="str">
        <f>"3"</f>
        <v>3</v>
      </c>
      <c r="E346" t="str">
        <f>"102-14-3"</f>
        <v>102-14-3</v>
      </c>
      <c r="F346" t="s">
        <v>18</v>
      </c>
      <c r="G346" t="s">
        <v>19</v>
      </c>
      <c r="H346">
        <v>2</v>
      </c>
      <c r="I346">
        <v>0</v>
      </c>
      <c r="J346">
        <v>1</v>
      </c>
      <c r="K346">
        <v>1</v>
      </c>
      <c r="L346">
        <v>0</v>
      </c>
      <c r="M346">
        <v>0</v>
      </c>
      <c r="N346">
        <v>1</v>
      </c>
      <c r="O346">
        <v>0</v>
      </c>
      <c r="P346">
        <v>1</v>
      </c>
    </row>
    <row r="347" spans="1:16" x14ac:dyDescent="0.25">
      <c r="A347" t="str">
        <f>"343"</f>
        <v>343</v>
      </c>
      <c r="B347" t="str">
        <f t="shared" si="18"/>
        <v>102</v>
      </c>
      <c r="C347" t="str">
        <f t="shared" si="19"/>
        <v>14</v>
      </c>
      <c r="D347" t="str">
        <f>"17"</f>
        <v>17</v>
      </c>
      <c r="E347" t="str">
        <f>"102-14-17"</f>
        <v>102-14-17</v>
      </c>
      <c r="F347" t="s">
        <v>18</v>
      </c>
      <c r="G347" t="s">
        <v>20</v>
      </c>
      <c r="H347">
        <v>1</v>
      </c>
      <c r="K347">
        <v>0</v>
      </c>
      <c r="L347">
        <v>1</v>
      </c>
      <c r="M347">
        <v>0</v>
      </c>
      <c r="N347">
        <v>1</v>
      </c>
    </row>
    <row r="348" spans="1:16" x14ac:dyDescent="0.25">
      <c r="A348" t="str">
        <f>"344"</f>
        <v>344</v>
      </c>
      <c r="B348" t="str">
        <f t="shared" si="18"/>
        <v>102</v>
      </c>
      <c r="C348" t="str">
        <f t="shared" si="19"/>
        <v>14</v>
      </c>
      <c r="D348" t="str">
        <f>"2"</f>
        <v>2</v>
      </c>
      <c r="E348" t="str">
        <f>"102-14-2"</f>
        <v>102-14-2</v>
      </c>
      <c r="F348" t="s">
        <v>18</v>
      </c>
      <c r="G348" t="s">
        <v>19</v>
      </c>
      <c r="H348">
        <v>2</v>
      </c>
      <c r="I348">
        <v>0</v>
      </c>
      <c r="J348">
        <v>1</v>
      </c>
      <c r="K348">
        <v>1</v>
      </c>
      <c r="L348">
        <v>0</v>
      </c>
      <c r="M348">
        <v>0</v>
      </c>
      <c r="N348">
        <v>1</v>
      </c>
      <c r="O348">
        <v>1</v>
      </c>
      <c r="P348">
        <v>0</v>
      </c>
    </row>
    <row r="349" spans="1:16" x14ac:dyDescent="0.25">
      <c r="A349" t="str">
        <f>"345"</f>
        <v>345</v>
      </c>
      <c r="B349" t="str">
        <f t="shared" si="18"/>
        <v>102</v>
      </c>
      <c r="C349" t="str">
        <f t="shared" si="19"/>
        <v>14</v>
      </c>
      <c r="D349" t="str">
        <f>"18"</f>
        <v>18</v>
      </c>
      <c r="E349" t="str">
        <f>"102-14-18"</f>
        <v>102-14-18</v>
      </c>
      <c r="F349" t="s">
        <v>18</v>
      </c>
      <c r="G349" t="s">
        <v>20</v>
      </c>
      <c r="H349">
        <v>1</v>
      </c>
      <c r="K349">
        <v>0</v>
      </c>
      <c r="L349">
        <v>1</v>
      </c>
      <c r="M349">
        <v>0</v>
      </c>
      <c r="N349">
        <v>1</v>
      </c>
    </row>
    <row r="350" spans="1:16" x14ac:dyDescent="0.25">
      <c r="A350" t="str">
        <f>"346"</f>
        <v>346</v>
      </c>
      <c r="B350" t="str">
        <f t="shared" si="18"/>
        <v>102</v>
      </c>
      <c r="C350" t="str">
        <f t="shared" si="19"/>
        <v>14</v>
      </c>
      <c r="D350" t="str">
        <f>"9"</f>
        <v>9</v>
      </c>
      <c r="E350" t="str">
        <f>"102-14-9"</f>
        <v>102-14-9</v>
      </c>
      <c r="F350" t="s">
        <v>18</v>
      </c>
      <c r="G350" t="s">
        <v>19</v>
      </c>
      <c r="H350">
        <v>2</v>
      </c>
      <c r="I350">
        <v>1</v>
      </c>
      <c r="J350">
        <v>1</v>
      </c>
      <c r="K350">
        <v>0</v>
      </c>
      <c r="L350">
        <v>1</v>
      </c>
      <c r="M350">
        <v>0</v>
      </c>
      <c r="N350">
        <v>1</v>
      </c>
      <c r="O350">
        <v>1</v>
      </c>
      <c r="P350">
        <v>0</v>
      </c>
    </row>
    <row r="351" spans="1:16" x14ac:dyDescent="0.25">
      <c r="A351" t="str">
        <f>"347"</f>
        <v>347</v>
      </c>
      <c r="B351" t="str">
        <f t="shared" si="18"/>
        <v>102</v>
      </c>
      <c r="C351" t="str">
        <f t="shared" si="19"/>
        <v>14</v>
      </c>
      <c r="D351" t="str">
        <f>"19"</f>
        <v>19</v>
      </c>
      <c r="E351" t="str">
        <f>"102-14-19"</f>
        <v>102-14-19</v>
      </c>
      <c r="F351" t="s">
        <v>18</v>
      </c>
      <c r="G351" t="s">
        <v>20</v>
      </c>
      <c r="H351">
        <v>1</v>
      </c>
      <c r="K351">
        <v>0</v>
      </c>
      <c r="L351">
        <v>1</v>
      </c>
      <c r="M351">
        <v>0</v>
      </c>
      <c r="N351">
        <v>1</v>
      </c>
    </row>
    <row r="352" spans="1:16" x14ac:dyDescent="0.25">
      <c r="A352" t="str">
        <f>"348"</f>
        <v>348</v>
      </c>
      <c r="B352" t="str">
        <f t="shared" si="18"/>
        <v>102</v>
      </c>
      <c r="C352" t="str">
        <f t="shared" si="19"/>
        <v>14</v>
      </c>
      <c r="D352" t="str">
        <f>"8"</f>
        <v>8</v>
      </c>
      <c r="E352" t="str">
        <f>"102-14-8"</f>
        <v>102-14-8</v>
      </c>
      <c r="F352" t="s">
        <v>18</v>
      </c>
      <c r="G352" t="s">
        <v>19</v>
      </c>
      <c r="H352">
        <v>2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1</v>
      </c>
      <c r="O352">
        <v>0</v>
      </c>
      <c r="P352">
        <v>1</v>
      </c>
    </row>
    <row r="353" spans="1:16" x14ac:dyDescent="0.25">
      <c r="A353" t="str">
        <f>"349"</f>
        <v>349</v>
      </c>
      <c r="B353" t="str">
        <f t="shared" si="18"/>
        <v>102</v>
      </c>
      <c r="C353" t="str">
        <f t="shared" si="19"/>
        <v>14</v>
      </c>
      <c r="D353" t="str">
        <f>"20"</f>
        <v>20</v>
      </c>
      <c r="E353" t="str">
        <f>"102-14-20"</f>
        <v>102-14-20</v>
      </c>
      <c r="F353" t="s">
        <v>18</v>
      </c>
      <c r="G353" t="s">
        <v>19</v>
      </c>
      <c r="H353">
        <v>2</v>
      </c>
      <c r="I353">
        <v>1</v>
      </c>
      <c r="J353">
        <v>1</v>
      </c>
      <c r="K353">
        <v>1</v>
      </c>
      <c r="L353">
        <v>0</v>
      </c>
      <c r="M353">
        <v>0</v>
      </c>
      <c r="N353">
        <v>1</v>
      </c>
      <c r="O353">
        <v>1</v>
      </c>
      <c r="P353">
        <v>0</v>
      </c>
    </row>
    <row r="354" spans="1:16" x14ac:dyDescent="0.25">
      <c r="A354" t="str">
        <f>"350"</f>
        <v>350</v>
      </c>
      <c r="B354" t="str">
        <f t="shared" si="18"/>
        <v>102</v>
      </c>
      <c r="C354" t="str">
        <f t="shared" si="19"/>
        <v>14</v>
      </c>
      <c r="D354" t="str">
        <f>"6"</f>
        <v>6</v>
      </c>
      <c r="E354" t="str">
        <f>"102-14-6"</f>
        <v>102-14-6</v>
      </c>
      <c r="F354" t="s">
        <v>18</v>
      </c>
      <c r="G354" t="s">
        <v>19</v>
      </c>
      <c r="H354">
        <v>2</v>
      </c>
      <c r="I354">
        <v>1</v>
      </c>
      <c r="J354">
        <v>1</v>
      </c>
      <c r="K354">
        <v>1</v>
      </c>
      <c r="L354">
        <v>0</v>
      </c>
      <c r="M354">
        <v>1</v>
      </c>
      <c r="N354">
        <v>0</v>
      </c>
      <c r="O354">
        <v>1</v>
      </c>
      <c r="P354">
        <v>0</v>
      </c>
    </row>
    <row r="355" spans="1:16" x14ac:dyDescent="0.25">
      <c r="A355" t="str">
        <f>"351"</f>
        <v>351</v>
      </c>
      <c r="B355" t="str">
        <f t="shared" si="18"/>
        <v>102</v>
      </c>
      <c r="C355" t="str">
        <f t="shared" ref="C355:C379" si="20">"15"</f>
        <v>15</v>
      </c>
      <c r="D355" t="str">
        <f>"25"</f>
        <v>25</v>
      </c>
      <c r="E355" t="str">
        <f>"102-15-25"</f>
        <v>102-15-25</v>
      </c>
      <c r="F355" t="s">
        <v>18</v>
      </c>
      <c r="G355" t="s">
        <v>20</v>
      </c>
      <c r="H355">
        <v>1</v>
      </c>
      <c r="K355">
        <v>0</v>
      </c>
      <c r="L355">
        <v>1</v>
      </c>
      <c r="M355">
        <v>0</v>
      </c>
      <c r="N355">
        <v>1</v>
      </c>
    </row>
    <row r="356" spans="1:16" x14ac:dyDescent="0.25">
      <c r="A356" t="str">
        <f>"352"</f>
        <v>352</v>
      </c>
      <c r="B356" t="str">
        <f t="shared" si="18"/>
        <v>102</v>
      </c>
      <c r="C356" t="str">
        <f t="shared" si="20"/>
        <v>15</v>
      </c>
      <c r="D356" t="str">
        <f>"24"</f>
        <v>24</v>
      </c>
      <c r="E356" t="str">
        <f>"102-15-24"</f>
        <v>102-15-24</v>
      </c>
      <c r="F356" t="s">
        <v>18</v>
      </c>
      <c r="G356" t="s">
        <v>20</v>
      </c>
      <c r="H356">
        <v>1</v>
      </c>
      <c r="K356">
        <v>1</v>
      </c>
      <c r="L356">
        <v>0</v>
      </c>
      <c r="M356">
        <v>1</v>
      </c>
      <c r="N356">
        <v>0</v>
      </c>
    </row>
    <row r="357" spans="1:16" x14ac:dyDescent="0.25">
      <c r="A357" t="str">
        <f>"353"</f>
        <v>353</v>
      </c>
      <c r="B357" t="str">
        <f t="shared" si="18"/>
        <v>102</v>
      </c>
      <c r="C357" t="str">
        <f t="shared" si="20"/>
        <v>15</v>
      </c>
      <c r="D357" t="str">
        <f>"20"</f>
        <v>20</v>
      </c>
      <c r="E357" t="str">
        <f>"102-15-20"</f>
        <v>102-15-20</v>
      </c>
      <c r="F357" t="s">
        <v>18</v>
      </c>
      <c r="G357" t="s">
        <v>20</v>
      </c>
      <c r="H357">
        <v>1</v>
      </c>
      <c r="K357">
        <v>0</v>
      </c>
      <c r="L357">
        <v>1</v>
      </c>
      <c r="M357">
        <v>0</v>
      </c>
      <c r="N357">
        <v>1</v>
      </c>
    </row>
    <row r="358" spans="1:16" x14ac:dyDescent="0.25">
      <c r="A358" t="str">
        <f>"354"</f>
        <v>354</v>
      </c>
      <c r="B358" t="str">
        <f t="shared" si="18"/>
        <v>102</v>
      </c>
      <c r="C358" t="str">
        <f t="shared" si="20"/>
        <v>15</v>
      </c>
      <c r="D358" t="str">
        <f>"11"</f>
        <v>11</v>
      </c>
      <c r="E358" t="str">
        <f>"102-15-11"</f>
        <v>102-15-11</v>
      </c>
      <c r="F358" t="s">
        <v>18</v>
      </c>
      <c r="G358" t="s">
        <v>20</v>
      </c>
      <c r="H358">
        <v>1</v>
      </c>
      <c r="K358">
        <v>1</v>
      </c>
      <c r="L358">
        <v>0</v>
      </c>
      <c r="M358">
        <v>1</v>
      </c>
      <c r="N358">
        <v>0</v>
      </c>
    </row>
    <row r="359" spans="1:16" x14ac:dyDescent="0.25">
      <c r="A359" t="str">
        <f>"355"</f>
        <v>355</v>
      </c>
      <c r="B359" t="str">
        <f t="shared" si="18"/>
        <v>102</v>
      </c>
      <c r="C359" t="str">
        <f t="shared" si="20"/>
        <v>15</v>
      </c>
      <c r="D359" t="str">
        <f>"2"</f>
        <v>2</v>
      </c>
      <c r="E359" t="str">
        <f>"102-15-2"</f>
        <v>102-15-2</v>
      </c>
      <c r="F359" t="s">
        <v>18</v>
      </c>
      <c r="G359" t="s">
        <v>20</v>
      </c>
      <c r="H359">
        <v>1</v>
      </c>
      <c r="K359">
        <v>0</v>
      </c>
      <c r="L359">
        <v>1</v>
      </c>
      <c r="M359">
        <v>0</v>
      </c>
      <c r="N359">
        <v>1</v>
      </c>
    </row>
    <row r="360" spans="1:16" x14ac:dyDescent="0.25">
      <c r="A360" t="str">
        <f>"356"</f>
        <v>356</v>
      </c>
      <c r="B360" t="str">
        <f t="shared" si="18"/>
        <v>102</v>
      </c>
      <c r="C360" t="str">
        <f t="shared" si="20"/>
        <v>15</v>
      </c>
      <c r="D360" t="str">
        <f>"23"</f>
        <v>23</v>
      </c>
      <c r="E360" t="str">
        <f>"102-15-23"</f>
        <v>102-15-23</v>
      </c>
      <c r="F360" t="s">
        <v>18</v>
      </c>
      <c r="G360" t="s">
        <v>20</v>
      </c>
      <c r="H360">
        <v>1</v>
      </c>
      <c r="K360">
        <v>0</v>
      </c>
      <c r="L360">
        <v>1</v>
      </c>
      <c r="M360">
        <v>0</v>
      </c>
      <c r="N360">
        <v>1</v>
      </c>
    </row>
    <row r="361" spans="1:16" x14ac:dyDescent="0.25">
      <c r="A361" t="str">
        <f>"357"</f>
        <v>357</v>
      </c>
      <c r="B361" t="str">
        <f t="shared" si="18"/>
        <v>102</v>
      </c>
      <c r="C361" t="str">
        <f t="shared" si="20"/>
        <v>15</v>
      </c>
      <c r="D361" t="str">
        <f>"12"</f>
        <v>12</v>
      </c>
      <c r="E361" t="str">
        <f>"102-15-12"</f>
        <v>102-15-12</v>
      </c>
      <c r="F361" t="s">
        <v>18</v>
      </c>
      <c r="G361" t="s">
        <v>20</v>
      </c>
      <c r="H361">
        <v>1</v>
      </c>
      <c r="K361">
        <v>0</v>
      </c>
      <c r="L361">
        <v>1</v>
      </c>
      <c r="M361">
        <v>0</v>
      </c>
      <c r="N361">
        <v>1</v>
      </c>
    </row>
    <row r="362" spans="1:16" x14ac:dyDescent="0.25">
      <c r="A362" t="str">
        <f>"358"</f>
        <v>358</v>
      </c>
      <c r="B362" t="str">
        <f t="shared" si="18"/>
        <v>102</v>
      </c>
      <c r="C362" t="str">
        <f t="shared" si="20"/>
        <v>15</v>
      </c>
      <c r="D362" t="str">
        <f>"1"</f>
        <v>1</v>
      </c>
      <c r="E362" t="str">
        <f>"102-15-1"</f>
        <v>102-15-1</v>
      </c>
      <c r="F362" t="s">
        <v>18</v>
      </c>
      <c r="G362" t="s">
        <v>19</v>
      </c>
      <c r="H362">
        <v>2</v>
      </c>
      <c r="I362">
        <v>1</v>
      </c>
      <c r="J362">
        <v>1</v>
      </c>
      <c r="K362">
        <v>0</v>
      </c>
      <c r="L362">
        <v>1</v>
      </c>
      <c r="M362">
        <v>0</v>
      </c>
      <c r="N362">
        <v>1</v>
      </c>
      <c r="O362">
        <v>0</v>
      </c>
      <c r="P362">
        <v>1</v>
      </c>
    </row>
    <row r="363" spans="1:16" x14ac:dyDescent="0.25">
      <c r="A363" t="str">
        <f>"359"</f>
        <v>359</v>
      </c>
      <c r="B363" t="str">
        <f t="shared" si="18"/>
        <v>102</v>
      </c>
      <c r="C363" t="str">
        <f t="shared" si="20"/>
        <v>15</v>
      </c>
      <c r="D363" t="str">
        <f>"22"</f>
        <v>22</v>
      </c>
      <c r="E363" t="str">
        <f>"102-15-22"</f>
        <v>102-15-22</v>
      </c>
      <c r="F363" t="s">
        <v>18</v>
      </c>
      <c r="G363" t="s">
        <v>20</v>
      </c>
      <c r="H363">
        <v>1</v>
      </c>
      <c r="K363">
        <v>1</v>
      </c>
      <c r="L363">
        <v>0</v>
      </c>
      <c r="M363">
        <v>1</v>
      </c>
      <c r="N363">
        <v>0</v>
      </c>
    </row>
    <row r="364" spans="1:16" x14ac:dyDescent="0.25">
      <c r="A364" t="str">
        <f>"360"</f>
        <v>360</v>
      </c>
      <c r="B364" t="str">
        <f t="shared" si="18"/>
        <v>102</v>
      </c>
      <c r="C364" t="str">
        <f t="shared" si="20"/>
        <v>15</v>
      </c>
      <c r="D364" t="str">
        <f>"13"</f>
        <v>13</v>
      </c>
      <c r="E364" t="str">
        <f>"102-15-13"</f>
        <v>102-15-13</v>
      </c>
      <c r="F364" t="s">
        <v>18</v>
      </c>
      <c r="G364" t="s">
        <v>20</v>
      </c>
      <c r="H364">
        <v>1</v>
      </c>
      <c r="K364">
        <v>0</v>
      </c>
      <c r="L364">
        <v>1</v>
      </c>
      <c r="M364">
        <v>0</v>
      </c>
      <c r="N364">
        <v>1</v>
      </c>
    </row>
    <row r="365" spans="1:16" x14ac:dyDescent="0.25">
      <c r="A365" t="str">
        <f>"361"</f>
        <v>361</v>
      </c>
      <c r="B365" t="str">
        <f t="shared" si="18"/>
        <v>102</v>
      </c>
      <c r="C365" t="str">
        <f t="shared" si="20"/>
        <v>15</v>
      </c>
      <c r="D365" t="str">
        <f>"8"</f>
        <v>8</v>
      </c>
      <c r="E365" t="str">
        <f>"102-15-8"</f>
        <v>102-15-8</v>
      </c>
      <c r="F365" t="s">
        <v>18</v>
      </c>
      <c r="G365" t="s">
        <v>20</v>
      </c>
      <c r="H365">
        <v>1</v>
      </c>
      <c r="K365">
        <v>1</v>
      </c>
      <c r="L365">
        <v>0</v>
      </c>
      <c r="M365">
        <v>1</v>
      </c>
      <c r="N365">
        <v>0</v>
      </c>
    </row>
    <row r="366" spans="1:16" x14ac:dyDescent="0.25">
      <c r="A366" t="str">
        <f>"362"</f>
        <v>362</v>
      </c>
      <c r="B366" t="str">
        <f t="shared" si="18"/>
        <v>102</v>
      </c>
      <c r="C366" t="str">
        <f t="shared" si="20"/>
        <v>15</v>
      </c>
      <c r="D366" t="str">
        <f>"14"</f>
        <v>14</v>
      </c>
      <c r="E366" t="str">
        <f>"102-15-14"</f>
        <v>102-15-14</v>
      </c>
      <c r="F366" t="s">
        <v>18</v>
      </c>
      <c r="G366" t="s">
        <v>20</v>
      </c>
      <c r="H366">
        <v>1</v>
      </c>
      <c r="K366">
        <v>0</v>
      </c>
      <c r="L366">
        <v>1</v>
      </c>
      <c r="M366">
        <v>1</v>
      </c>
      <c r="N366">
        <v>0</v>
      </c>
    </row>
    <row r="367" spans="1:16" x14ac:dyDescent="0.25">
      <c r="A367" t="str">
        <f>"363"</f>
        <v>363</v>
      </c>
      <c r="B367" t="str">
        <f t="shared" si="18"/>
        <v>102</v>
      </c>
      <c r="C367" t="str">
        <f t="shared" si="20"/>
        <v>15</v>
      </c>
      <c r="D367" t="str">
        <f>"3"</f>
        <v>3</v>
      </c>
      <c r="E367" t="str">
        <f>"102-15-3"</f>
        <v>102-15-3</v>
      </c>
      <c r="F367" t="s">
        <v>18</v>
      </c>
      <c r="G367" t="s">
        <v>20</v>
      </c>
      <c r="H367">
        <v>1</v>
      </c>
      <c r="K367">
        <v>1</v>
      </c>
      <c r="L367">
        <v>0</v>
      </c>
      <c r="M367">
        <v>1</v>
      </c>
      <c r="N367">
        <v>0</v>
      </c>
    </row>
    <row r="368" spans="1:16" x14ac:dyDescent="0.25">
      <c r="A368" t="str">
        <f>"364"</f>
        <v>364</v>
      </c>
      <c r="B368" t="str">
        <f t="shared" si="18"/>
        <v>102</v>
      </c>
      <c r="C368" t="str">
        <f t="shared" si="20"/>
        <v>15</v>
      </c>
      <c r="D368" t="str">
        <f>"15"</f>
        <v>15</v>
      </c>
      <c r="E368" t="str">
        <f>"102-15-15"</f>
        <v>102-15-15</v>
      </c>
      <c r="F368" t="s">
        <v>18</v>
      </c>
      <c r="G368" t="s">
        <v>20</v>
      </c>
      <c r="H368">
        <v>1</v>
      </c>
      <c r="K368">
        <v>1</v>
      </c>
      <c r="L368">
        <v>0</v>
      </c>
      <c r="M368">
        <v>0</v>
      </c>
      <c r="N368">
        <v>1</v>
      </c>
    </row>
    <row r="369" spans="1:16" x14ac:dyDescent="0.25">
      <c r="A369" t="str">
        <f>"365"</f>
        <v>365</v>
      </c>
      <c r="B369" t="str">
        <f t="shared" si="18"/>
        <v>102</v>
      </c>
      <c r="C369" t="str">
        <f t="shared" si="20"/>
        <v>15</v>
      </c>
      <c r="D369" t="str">
        <f>"9"</f>
        <v>9</v>
      </c>
      <c r="E369" t="str">
        <f>"102-15-9"</f>
        <v>102-15-9</v>
      </c>
      <c r="F369" t="s">
        <v>18</v>
      </c>
      <c r="G369" t="s">
        <v>20</v>
      </c>
      <c r="H369">
        <v>1</v>
      </c>
      <c r="K369">
        <v>1</v>
      </c>
      <c r="L369">
        <v>0</v>
      </c>
      <c r="M369">
        <v>1</v>
      </c>
      <c r="N369">
        <v>0</v>
      </c>
    </row>
    <row r="370" spans="1:16" x14ac:dyDescent="0.25">
      <c r="A370" t="str">
        <f>"366"</f>
        <v>366</v>
      </c>
      <c r="B370" t="str">
        <f t="shared" si="18"/>
        <v>102</v>
      </c>
      <c r="C370" t="str">
        <f t="shared" si="20"/>
        <v>15</v>
      </c>
      <c r="D370" t="str">
        <f>"16"</f>
        <v>16</v>
      </c>
      <c r="E370" t="str">
        <f>"102-15-16"</f>
        <v>102-15-16</v>
      </c>
      <c r="F370" t="s">
        <v>18</v>
      </c>
      <c r="G370" t="s">
        <v>20</v>
      </c>
      <c r="H370">
        <v>1</v>
      </c>
      <c r="K370">
        <v>0</v>
      </c>
      <c r="L370">
        <v>1</v>
      </c>
      <c r="M370">
        <v>1</v>
      </c>
      <c r="N370">
        <v>0</v>
      </c>
    </row>
    <row r="371" spans="1:16" x14ac:dyDescent="0.25">
      <c r="A371" t="str">
        <f>"367"</f>
        <v>367</v>
      </c>
      <c r="B371" t="str">
        <f t="shared" si="18"/>
        <v>102</v>
      </c>
      <c r="C371" t="str">
        <f t="shared" si="20"/>
        <v>15</v>
      </c>
      <c r="D371" t="str">
        <f>"4"</f>
        <v>4</v>
      </c>
      <c r="E371" t="str">
        <f>"102-15-4"</f>
        <v>102-15-4</v>
      </c>
      <c r="F371" t="s">
        <v>18</v>
      </c>
      <c r="G371" t="s">
        <v>20</v>
      </c>
      <c r="H371">
        <v>1</v>
      </c>
      <c r="K371">
        <v>0</v>
      </c>
      <c r="L371">
        <v>1</v>
      </c>
      <c r="M371">
        <v>0</v>
      </c>
      <c r="N371">
        <v>1</v>
      </c>
    </row>
    <row r="372" spans="1:16" x14ac:dyDescent="0.25">
      <c r="A372" t="str">
        <f>"368"</f>
        <v>368</v>
      </c>
      <c r="B372" t="str">
        <f t="shared" si="18"/>
        <v>102</v>
      </c>
      <c r="C372" t="str">
        <f t="shared" si="20"/>
        <v>15</v>
      </c>
      <c r="D372" t="str">
        <f>"17"</f>
        <v>17</v>
      </c>
      <c r="E372" t="str">
        <f>"102-15-17"</f>
        <v>102-15-17</v>
      </c>
      <c r="F372" t="s">
        <v>18</v>
      </c>
      <c r="G372" t="s">
        <v>20</v>
      </c>
      <c r="H372">
        <v>1</v>
      </c>
      <c r="K372">
        <v>0</v>
      </c>
      <c r="L372">
        <v>1</v>
      </c>
      <c r="M372">
        <v>1</v>
      </c>
      <c r="N372">
        <v>0</v>
      </c>
    </row>
    <row r="373" spans="1:16" x14ac:dyDescent="0.25">
      <c r="A373" t="str">
        <f>"369"</f>
        <v>369</v>
      </c>
      <c r="B373" t="str">
        <f t="shared" si="18"/>
        <v>102</v>
      </c>
      <c r="C373" t="str">
        <f t="shared" si="20"/>
        <v>15</v>
      </c>
      <c r="D373" t="str">
        <f>"5"</f>
        <v>5</v>
      </c>
      <c r="E373" t="str">
        <f>"102-15-5"</f>
        <v>102-15-5</v>
      </c>
      <c r="F373" t="s">
        <v>18</v>
      </c>
      <c r="G373" t="s">
        <v>20</v>
      </c>
      <c r="H373">
        <v>1</v>
      </c>
      <c r="K373">
        <v>0</v>
      </c>
      <c r="L373">
        <v>1</v>
      </c>
      <c r="M373">
        <v>0</v>
      </c>
      <c r="N373">
        <v>1</v>
      </c>
    </row>
    <row r="374" spans="1:16" x14ac:dyDescent="0.25">
      <c r="A374" t="str">
        <f>"370"</f>
        <v>370</v>
      </c>
      <c r="B374" t="str">
        <f t="shared" si="18"/>
        <v>102</v>
      </c>
      <c r="C374" t="str">
        <f t="shared" si="20"/>
        <v>15</v>
      </c>
      <c r="D374" t="str">
        <f>"18"</f>
        <v>18</v>
      </c>
      <c r="E374" t="str">
        <f>"102-15-18"</f>
        <v>102-15-18</v>
      </c>
      <c r="F374" t="s">
        <v>18</v>
      </c>
      <c r="G374" t="s">
        <v>20</v>
      </c>
      <c r="H374">
        <v>1</v>
      </c>
      <c r="K374">
        <v>1</v>
      </c>
      <c r="L374">
        <v>0</v>
      </c>
      <c r="M374">
        <v>1</v>
      </c>
      <c r="N374">
        <v>0</v>
      </c>
    </row>
    <row r="375" spans="1:16" x14ac:dyDescent="0.25">
      <c r="A375" t="str">
        <f>"371"</f>
        <v>371</v>
      </c>
      <c r="B375" t="str">
        <f t="shared" si="18"/>
        <v>102</v>
      </c>
      <c r="C375" t="str">
        <f t="shared" si="20"/>
        <v>15</v>
      </c>
      <c r="D375" t="str">
        <f>"6"</f>
        <v>6</v>
      </c>
      <c r="E375" t="str">
        <f>"102-15-6"</f>
        <v>102-15-6</v>
      </c>
      <c r="F375" t="s">
        <v>18</v>
      </c>
      <c r="G375" t="s">
        <v>20</v>
      </c>
      <c r="H375">
        <v>1</v>
      </c>
      <c r="K375">
        <v>1</v>
      </c>
      <c r="L375">
        <v>0</v>
      </c>
      <c r="M375">
        <v>1</v>
      </c>
      <c r="N375">
        <v>0</v>
      </c>
    </row>
    <row r="376" spans="1:16" x14ac:dyDescent="0.25">
      <c r="A376" t="str">
        <f>"372"</f>
        <v>372</v>
      </c>
      <c r="B376" t="str">
        <f t="shared" si="18"/>
        <v>102</v>
      </c>
      <c r="C376" t="str">
        <f t="shared" si="20"/>
        <v>15</v>
      </c>
      <c r="D376" t="str">
        <f>"19"</f>
        <v>19</v>
      </c>
      <c r="E376" t="str">
        <f>"102-15-19"</f>
        <v>102-15-19</v>
      </c>
      <c r="F376" t="s">
        <v>18</v>
      </c>
      <c r="G376" t="s">
        <v>20</v>
      </c>
      <c r="H376">
        <v>1</v>
      </c>
      <c r="K376">
        <v>0</v>
      </c>
      <c r="L376">
        <v>1</v>
      </c>
      <c r="M376">
        <v>0</v>
      </c>
      <c r="N376">
        <v>1</v>
      </c>
    </row>
    <row r="377" spans="1:16" x14ac:dyDescent="0.25">
      <c r="A377" t="str">
        <f>"373"</f>
        <v>373</v>
      </c>
      <c r="B377" t="str">
        <f t="shared" si="18"/>
        <v>102</v>
      </c>
      <c r="C377" t="str">
        <f t="shared" si="20"/>
        <v>15</v>
      </c>
      <c r="D377" t="str">
        <f>"7"</f>
        <v>7</v>
      </c>
      <c r="E377" t="str">
        <f>"102-15-7"</f>
        <v>102-15-7</v>
      </c>
      <c r="F377" t="s">
        <v>18</v>
      </c>
      <c r="G377" t="s">
        <v>20</v>
      </c>
      <c r="H377">
        <v>1</v>
      </c>
      <c r="K377">
        <v>1</v>
      </c>
      <c r="L377">
        <v>0</v>
      </c>
      <c r="M377">
        <v>1</v>
      </c>
      <c r="N377">
        <v>0</v>
      </c>
    </row>
    <row r="378" spans="1:16" x14ac:dyDescent="0.25">
      <c r="A378" t="str">
        <f>"374"</f>
        <v>374</v>
      </c>
      <c r="B378" t="str">
        <f t="shared" si="18"/>
        <v>102</v>
      </c>
      <c r="C378" t="str">
        <f t="shared" si="20"/>
        <v>15</v>
      </c>
      <c r="D378" t="str">
        <f>"21"</f>
        <v>21</v>
      </c>
      <c r="E378" t="str">
        <f>"102-15-21"</f>
        <v>102-15-21</v>
      </c>
      <c r="F378" t="s">
        <v>18</v>
      </c>
      <c r="G378" t="s">
        <v>20</v>
      </c>
      <c r="H378">
        <v>1</v>
      </c>
      <c r="K378">
        <v>0</v>
      </c>
      <c r="L378">
        <v>1</v>
      </c>
      <c r="M378">
        <v>0</v>
      </c>
      <c r="N378">
        <v>0</v>
      </c>
    </row>
    <row r="379" spans="1:16" x14ac:dyDescent="0.25">
      <c r="A379" t="str">
        <f>"375"</f>
        <v>375</v>
      </c>
      <c r="B379" t="str">
        <f t="shared" si="18"/>
        <v>102</v>
      </c>
      <c r="C379" t="str">
        <f t="shared" si="20"/>
        <v>15</v>
      </c>
      <c r="D379" t="str">
        <f>"10"</f>
        <v>10</v>
      </c>
      <c r="E379" t="str">
        <f>"102-15-10"</f>
        <v>102-15-10</v>
      </c>
      <c r="F379" t="s">
        <v>18</v>
      </c>
      <c r="G379" t="s">
        <v>20</v>
      </c>
      <c r="H379">
        <v>1</v>
      </c>
      <c r="K379">
        <v>0</v>
      </c>
      <c r="L379">
        <v>1</v>
      </c>
      <c r="M379">
        <v>0</v>
      </c>
      <c r="N379">
        <v>1</v>
      </c>
    </row>
    <row r="380" spans="1:16" x14ac:dyDescent="0.25">
      <c r="A380" t="str">
        <f>"376"</f>
        <v>376</v>
      </c>
      <c r="B380" t="str">
        <f t="shared" si="18"/>
        <v>102</v>
      </c>
      <c r="C380" t="str">
        <f t="shared" ref="C380:C404" si="21">"16"</f>
        <v>16</v>
      </c>
      <c r="D380" t="str">
        <f>"21"</f>
        <v>21</v>
      </c>
      <c r="E380" t="str">
        <f>"102-16-21"</f>
        <v>102-16-21</v>
      </c>
      <c r="F380" t="s">
        <v>18</v>
      </c>
      <c r="G380" t="s">
        <v>19</v>
      </c>
      <c r="H380">
        <v>2</v>
      </c>
      <c r="I380">
        <v>1</v>
      </c>
      <c r="J380">
        <v>1</v>
      </c>
      <c r="K380">
        <v>1</v>
      </c>
      <c r="L380">
        <v>0</v>
      </c>
      <c r="M380">
        <v>1</v>
      </c>
      <c r="N380">
        <v>0</v>
      </c>
      <c r="O380">
        <v>1</v>
      </c>
      <c r="P380">
        <v>0</v>
      </c>
    </row>
    <row r="381" spans="1:16" x14ac:dyDescent="0.25">
      <c r="A381" t="str">
        <f>"377"</f>
        <v>377</v>
      </c>
      <c r="B381" t="str">
        <f t="shared" si="18"/>
        <v>102</v>
      </c>
      <c r="C381" t="str">
        <f t="shared" si="21"/>
        <v>16</v>
      </c>
      <c r="D381" t="str">
        <f>"11"</f>
        <v>11</v>
      </c>
      <c r="E381" t="str">
        <f>"102-16-11"</f>
        <v>102-16-11</v>
      </c>
      <c r="F381" t="s">
        <v>18</v>
      </c>
      <c r="G381" t="s">
        <v>20</v>
      </c>
      <c r="H381">
        <v>1</v>
      </c>
      <c r="K381">
        <v>1</v>
      </c>
      <c r="L381">
        <v>0</v>
      </c>
      <c r="M381">
        <v>1</v>
      </c>
      <c r="N381">
        <v>0</v>
      </c>
    </row>
    <row r="382" spans="1:16" x14ac:dyDescent="0.25">
      <c r="A382" t="str">
        <f>"378"</f>
        <v>378</v>
      </c>
      <c r="B382" t="str">
        <f t="shared" si="18"/>
        <v>102</v>
      </c>
      <c r="C382" t="str">
        <f t="shared" si="21"/>
        <v>16</v>
      </c>
      <c r="D382" t="str">
        <f>"1"</f>
        <v>1</v>
      </c>
      <c r="E382" t="str">
        <f>"102-16-1"</f>
        <v>102-16-1</v>
      </c>
      <c r="F382" t="s">
        <v>18</v>
      </c>
      <c r="G382" t="s">
        <v>20</v>
      </c>
      <c r="H382">
        <v>1</v>
      </c>
      <c r="K382">
        <v>0</v>
      </c>
      <c r="L382">
        <v>1</v>
      </c>
      <c r="M382">
        <v>0</v>
      </c>
      <c r="N382">
        <v>1</v>
      </c>
    </row>
    <row r="383" spans="1:16" x14ac:dyDescent="0.25">
      <c r="A383" t="str">
        <f>"379"</f>
        <v>379</v>
      </c>
      <c r="B383" t="str">
        <f t="shared" si="18"/>
        <v>102</v>
      </c>
      <c r="C383" t="str">
        <f t="shared" si="21"/>
        <v>16</v>
      </c>
      <c r="D383" t="str">
        <f>"23"</f>
        <v>23</v>
      </c>
      <c r="E383" t="str">
        <f>"102-16-23"</f>
        <v>102-16-23</v>
      </c>
      <c r="F383" t="s">
        <v>18</v>
      </c>
      <c r="G383" t="s">
        <v>19</v>
      </c>
      <c r="H383">
        <v>2</v>
      </c>
      <c r="I383">
        <v>1</v>
      </c>
      <c r="J383">
        <v>1</v>
      </c>
      <c r="K383">
        <v>1</v>
      </c>
      <c r="L383">
        <v>0</v>
      </c>
      <c r="M383">
        <v>1</v>
      </c>
      <c r="N383">
        <v>0</v>
      </c>
      <c r="O383">
        <v>1</v>
      </c>
      <c r="P383">
        <v>0</v>
      </c>
    </row>
    <row r="384" spans="1:16" x14ac:dyDescent="0.25">
      <c r="A384" t="str">
        <f>"380"</f>
        <v>380</v>
      </c>
      <c r="B384" t="str">
        <f t="shared" si="18"/>
        <v>102</v>
      </c>
      <c r="C384" t="str">
        <f t="shared" si="21"/>
        <v>16</v>
      </c>
      <c r="D384" t="str">
        <f>"12"</f>
        <v>12</v>
      </c>
      <c r="E384" t="str">
        <f>"102-16-12"</f>
        <v>102-16-12</v>
      </c>
      <c r="F384" t="s">
        <v>18</v>
      </c>
      <c r="G384" t="s">
        <v>20</v>
      </c>
      <c r="H384">
        <v>1</v>
      </c>
      <c r="K384">
        <v>0</v>
      </c>
      <c r="L384">
        <v>1</v>
      </c>
      <c r="M384">
        <v>0</v>
      </c>
      <c r="N384">
        <v>1</v>
      </c>
    </row>
    <row r="385" spans="1:16" x14ac:dyDescent="0.25">
      <c r="A385" t="str">
        <f>"381"</f>
        <v>381</v>
      </c>
      <c r="B385" t="str">
        <f t="shared" si="18"/>
        <v>102</v>
      </c>
      <c r="C385" t="str">
        <f t="shared" si="21"/>
        <v>16</v>
      </c>
      <c r="D385" t="str">
        <f>"7"</f>
        <v>7</v>
      </c>
      <c r="E385" t="str">
        <f>"102-16-7"</f>
        <v>102-16-7</v>
      </c>
      <c r="F385" t="s">
        <v>18</v>
      </c>
      <c r="G385" t="s">
        <v>20</v>
      </c>
      <c r="H385">
        <v>1</v>
      </c>
      <c r="K385">
        <v>0</v>
      </c>
      <c r="L385">
        <v>1</v>
      </c>
      <c r="M385">
        <v>0</v>
      </c>
      <c r="N385">
        <v>1</v>
      </c>
    </row>
    <row r="386" spans="1:16" x14ac:dyDescent="0.25">
      <c r="A386" t="str">
        <f>"382"</f>
        <v>382</v>
      </c>
      <c r="B386" t="str">
        <f t="shared" si="18"/>
        <v>102</v>
      </c>
      <c r="C386" t="str">
        <f t="shared" si="21"/>
        <v>16</v>
      </c>
      <c r="D386" t="str">
        <f>"22"</f>
        <v>22</v>
      </c>
      <c r="E386" t="str">
        <f>"102-16-22"</f>
        <v>102-16-22</v>
      </c>
      <c r="F386" t="s">
        <v>18</v>
      </c>
      <c r="G386" t="s">
        <v>19</v>
      </c>
      <c r="H386">
        <v>2</v>
      </c>
      <c r="I386">
        <v>1</v>
      </c>
      <c r="J386">
        <v>1</v>
      </c>
      <c r="K386">
        <v>1</v>
      </c>
      <c r="L386">
        <v>0</v>
      </c>
      <c r="M386">
        <v>1</v>
      </c>
      <c r="N386">
        <v>0</v>
      </c>
      <c r="O386">
        <v>1</v>
      </c>
      <c r="P386">
        <v>0</v>
      </c>
    </row>
    <row r="387" spans="1:16" x14ac:dyDescent="0.25">
      <c r="A387" t="str">
        <f>"383"</f>
        <v>383</v>
      </c>
      <c r="B387" t="str">
        <f t="shared" si="18"/>
        <v>102</v>
      </c>
      <c r="C387" t="str">
        <f t="shared" si="21"/>
        <v>16</v>
      </c>
      <c r="D387" t="str">
        <f>"13"</f>
        <v>13</v>
      </c>
      <c r="E387" t="str">
        <f>"102-16-13"</f>
        <v>102-16-13</v>
      </c>
      <c r="F387" t="s">
        <v>18</v>
      </c>
      <c r="G387" t="s">
        <v>20</v>
      </c>
      <c r="H387">
        <v>1</v>
      </c>
      <c r="K387">
        <v>1</v>
      </c>
      <c r="L387">
        <v>0</v>
      </c>
      <c r="M387">
        <v>1</v>
      </c>
      <c r="N387">
        <v>0</v>
      </c>
    </row>
    <row r="388" spans="1:16" x14ac:dyDescent="0.25">
      <c r="A388" t="str">
        <f>"384"</f>
        <v>384</v>
      </c>
      <c r="B388" t="str">
        <f t="shared" si="18"/>
        <v>102</v>
      </c>
      <c r="C388" t="str">
        <f t="shared" si="21"/>
        <v>16</v>
      </c>
      <c r="D388" t="str">
        <f>"2"</f>
        <v>2</v>
      </c>
      <c r="E388" t="str">
        <f>"102-16-2"</f>
        <v>102-16-2</v>
      </c>
      <c r="F388" t="s">
        <v>18</v>
      </c>
      <c r="G388" t="s">
        <v>20</v>
      </c>
      <c r="H388">
        <v>1</v>
      </c>
      <c r="K388">
        <v>0</v>
      </c>
      <c r="L388">
        <v>1</v>
      </c>
      <c r="M388">
        <v>0</v>
      </c>
      <c r="N388">
        <v>1</v>
      </c>
    </row>
    <row r="389" spans="1:16" x14ac:dyDescent="0.25">
      <c r="A389" t="str">
        <f>"385"</f>
        <v>385</v>
      </c>
      <c r="B389" t="str">
        <f t="shared" ref="B389:B452" si="22">"102"</f>
        <v>102</v>
      </c>
      <c r="C389" t="str">
        <f t="shared" si="21"/>
        <v>16</v>
      </c>
      <c r="D389" t="str">
        <f>"25"</f>
        <v>25</v>
      </c>
      <c r="E389" t="str">
        <f>"102-16-25"</f>
        <v>102-16-25</v>
      </c>
      <c r="F389" t="s">
        <v>18</v>
      </c>
      <c r="G389" t="s">
        <v>19</v>
      </c>
      <c r="H389">
        <v>2</v>
      </c>
      <c r="I389">
        <v>1</v>
      </c>
      <c r="J389">
        <v>1</v>
      </c>
      <c r="K389">
        <v>1</v>
      </c>
      <c r="L389">
        <v>0</v>
      </c>
      <c r="M389">
        <v>1</v>
      </c>
      <c r="N389">
        <v>0</v>
      </c>
      <c r="O389">
        <v>0</v>
      </c>
      <c r="P389">
        <v>1</v>
      </c>
    </row>
    <row r="390" spans="1:16" x14ac:dyDescent="0.25">
      <c r="A390" t="str">
        <f>"386"</f>
        <v>386</v>
      </c>
      <c r="B390" t="str">
        <f t="shared" si="22"/>
        <v>102</v>
      </c>
      <c r="C390" t="str">
        <f t="shared" si="21"/>
        <v>16</v>
      </c>
      <c r="D390" t="str">
        <f>"14"</f>
        <v>14</v>
      </c>
      <c r="E390" t="str">
        <f>"102-16-14"</f>
        <v>102-16-14</v>
      </c>
      <c r="F390" t="s">
        <v>18</v>
      </c>
      <c r="G390" t="s">
        <v>20</v>
      </c>
      <c r="H390">
        <v>1</v>
      </c>
      <c r="K390">
        <v>0</v>
      </c>
      <c r="L390">
        <v>1</v>
      </c>
      <c r="M390">
        <v>0</v>
      </c>
      <c r="N390">
        <v>1</v>
      </c>
    </row>
    <row r="391" spans="1:16" x14ac:dyDescent="0.25">
      <c r="A391" t="str">
        <f>"387"</f>
        <v>387</v>
      </c>
      <c r="B391" t="str">
        <f t="shared" si="22"/>
        <v>102</v>
      </c>
      <c r="C391" t="str">
        <f t="shared" si="21"/>
        <v>16</v>
      </c>
      <c r="D391" t="str">
        <f>"5"</f>
        <v>5</v>
      </c>
      <c r="E391" t="str">
        <f>"102-16-5"</f>
        <v>102-16-5</v>
      </c>
      <c r="F391" t="s">
        <v>18</v>
      </c>
      <c r="G391" t="s">
        <v>20</v>
      </c>
      <c r="H391">
        <v>1</v>
      </c>
      <c r="K391">
        <v>1</v>
      </c>
      <c r="L391">
        <v>0</v>
      </c>
      <c r="M391">
        <v>1</v>
      </c>
      <c r="N391">
        <v>0</v>
      </c>
    </row>
    <row r="392" spans="1:16" x14ac:dyDescent="0.25">
      <c r="A392" t="str">
        <f>"388"</f>
        <v>388</v>
      </c>
      <c r="B392" t="str">
        <f t="shared" si="22"/>
        <v>102</v>
      </c>
      <c r="C392" t="str">
        <f t="shared" si="21"/>
        <v>16</v>
      </c>
      <c r="D392" t="str">
        <f>"24"</f>
        <v>24</v>
      </c>
      <c r="E392" t="str">
        <f>"102-16-24"</f>
        <v>102-16-24</v>
      </c>
      <c r="F392" t="s">
        <v>18</v>
      </c>
      <c r="G392" t="s">
        <v>19</v>
      </c>
      <c r="H392">
        <v>2</v>
      </c>
      <c r="I392">
        <v>1</v>
      </c>
      <c r="J392">
        <v>1</v>
      </c>
      <c r="K392">
        <v>0</v>
      </c>
      <c r="L392">
        <v>1</v>
      </c>
      <c r="M392">
        <v>0</v>
      </c>
      <c r="N392">
        <v>1</v>
      </c>
      <c r="O392">
        <v>1</v>
      </c>
      <c r="P392">
        <v>0</v>
      </c>
    </row>
    <row r="393" spans="1:16" x14ac:dyDescent="0.25">
      <c r="A393" t="str">
        <f>"389"</f>
        <v>389</v>
      </c>
      <c r="B393" t="str">
        <f t="shared" si="22"/>
        <v>102</v>
      </c>
      <c r="C393" t="str">
        <f t="shared" si="21"/>
        <v>16</v>
      </c>
      <c r="D393" t="str">
        <f>"15"</f>
        <v>15</v>
      </c>
      <c r="E393" t="str">
        <f>"102-16-15"</f>
        <v>102-16-15</v>
      </c>
      <c r="F393" t="s">
        <v>18</v>
      </c>
      <c r="G393" t="s">
        <v>20</v>
      </c>
      <c r="H393">
        <v>1</v>
      </c>
      <c r="K393">
        <v>0</v>
      </c>
      <c r="L393">
        <v>1</v>
      </c>
      <c r="M393">
        <v>0</v>
      </c>
      <c r="N393">
        <v>1</v>
      </c>
    </row>
    <row r="394" spans="1:16" x14ac:dyDescent="0.25">
      <c r="A394" t="str">
        <f>"390"</f>
        <v>390</v>
      </c>
      <c r="B394" t="str">
        <f t="shared" si="22"/>
        <v>102</v>
      </c>
      <c r="C394" t="str">
        <f t="shared" si="21"/>
        <v>16</v>
      </c>
      <c r="D394" t="str">
        <f>"6"</f>
        <v>6</v>
      </c>
      <c r="E394" t="str">
        <f>"102-16-6"</f>
        <v>102-16-6</v>
      </c>
      <c r="F394" t="s">
        <v>18</v>
      </c>
      <c r="G394" t="s">
        <v>20</v>
      </c>
      <c r="H394">
        <v>1</v>
      </c>
      <c r="K394">
        <v>1</v>
      </c>
      <c r="L394">
        <v>0</v>
      </c>
      <c r="M394">
        <v>1</v>
      </c>
      <c r="N394">
        <v>0</v>
      </c>
    </row>
    <row r="395" spans="1:16" x14ac:dyDescent="0.25">
      <c r="A395" t="str">
        <f>"391"</f>
        <v>391</v>
      </c>
      <c r="B395" t="str">
        <f t="shared" si="22"/>
        <v>102</v>
      </c>
      <c r="C395" t="str">
        <f t="shared" si="21"/>
        <v>16</v>
      </c>
      <c r="D395" t="str">
        <f>"16"</f>
        <v>16</v>
      </c>
      <c r="E395" t="str">
        <f>"102-16-16"</f>
        <v>102-16-16</v>
      </c>
      <c r="F395" t="s">
        <v>18</v>
      </c>
      <c r="G395" t="s">
        <v>20</v>
      </c>
      <c r="H395">
        <v>1</v>
      </c>
      <c r="K395">
        <v>0</v>
      </c>
      <c r="L395">
        <v>1</v>
      </c>
      <c r="M395">
        <v>0</v>
      </c>
      <c r="N395">
        <v>1</v>
      </c>
    </row>
    <row r="396" spans="1:16" x14ac:dyDescent="0.25">
      <c r="A396" t="str">
        <f>"392"</f>
        <v>392</v>
      </c>
      <c r="B396" t="str">
        <f t="shared" si="22"/>
        <v>102</v>
      </c>
      <c r="C396" t="str">
        <f t="shared" si="21"/>
        <v>16</v>
      </c>
      <c r="D396" t="str">
        <f>"4"</f>
        <v>4</v>
      </c>
      <c r="E396" t="str">
        <f>"102-16-4"</f>
        <v>102-16-4</v>
      </c>
      <c r="F396" t="s">
        <v>18</v>
      </c>
      <c r="G396" t="s">
        <v>20</v>
      </c>
      <c r="H396">
        <v>1</v>
      </c>
      <c r="K396">
        <v>0</v>
      </c>
      <c r="L396">
        <v>1</v>
      </c>
      <c r="M396">
        <v>1</v>
      </c>
      <c r="N396">
        <v>0</v>
      </c>
    </row>
    <row r="397" spans="1:16" x14ac:dyDescent="0.25">
      <c r="A397" t="str">
        <f>"393"</f>
        <v>393</v>
      </c>
      <c r="B397" t="str">
        <f t="shared" si="22"/>
        <v>102</v>
      </c>
      <c r="C397" t="str">
        <f t="shared" si="21"/>
        <v>16</v>
      </c>
      <c r="D397" t="str">
        <f>"17"</f>
        <v>17</v>
      </c>
      <c r="E397" t="str">
        <f>"102-16-17"</f>
        <v>102-16-17</v>
      </c>
      <c r="F397" t="s">
        <v>18</v>
      </c>
      <c r="G397" t="s">
        <v>19</v>
      </c>
      <c r="H397">
        <v>2</v>
      </c>
      <c r="I397">
        <v>0</v>
      </c>
      <c r="J397">
        <v>1</v>
      </c>
      <c r="K397">
        <v>0</v>
      </c>
      <c r="L397">
        <v>1</v>
      </c>
      <c r="M397">
        <v>0</v>
      </c>
      <c r="N397">
        <v>1</v>
      </c>
      <c r="O397">
        <v>0</v>
      </c>
      <c r="P397">
        <v>1</v>
      </c>
    </row>
    <row r="398" spans="1:16" x14ac:dyDescent="0.25">
      <c r="A398" t="str">
        <f>"394"</f>
        <v>394</v>
      </c>
      <c r="B398" t="str">
        <f t="shared" si="22"/>
        <v>102</v>
      </c>
      <c r="C398" t="str">
        <f t="shared" si="21"/>
        <v>16</v>
      </c>
      <c r="D398" t="str">
        <f>"10"</f>
        <v>10</v>
      </c>
      <c r="E398" t="str">
        <f>"102-16-10"</f>
        <v>102-16-10</v>
      </c>
      <c r="F398" t="s">
        <v>18</v>
      </c>
      <c r="G398" t="s">
        <v>20</v>
      </c>
      <c r="H398">
        <v>1</v>
      </c>
      <c r="K398">
        <v>1</v>
      </c>
      <c r="L398">
        <v>0</v>
      </c>
      <c r="M398">
        <v>1</v>
      </c>
      <c r="N398">
        <v>0</v>
      </c>
    </row>
    <row r="399" spans="1:16" x14ac:dyDescent="0.25">
      <c r="A399" t="str">
        <f>"395"</f>
        <v>395</v>
      </c>
      <c r="B399" t="str">
        <f t="shared" si="22"/>
        <v>102</v>
      </c>
      <c r="C399" t="str">
        <f t="shared" si="21"/>
        <v>16</v>
      </c>
      <c r="D399" t="str">
        <f>"18"</f>
        <v>18</v>
      </c>
      <c r="E399" t="str">
        <f>"102-16-18"</f>
        <v>102-16-18</v>
      </c>
      <c r="F399" t="s">
        <v>18</v>
      </c>
      <c r="G399" t="s">
        <v>19</v>
      </c>
      <c r="H399">
        <v>2</v>
      </c>
      <c r="I399">
        <v>0</v>
      </c>
      <c r="J399">
        <v>1</v>
      </c>
      <c r="K399">
        <v>0</v>
      </c>
      <c r="L399">
        <v>1</v>
      </c>
      <c r="M399">
        <v>0</v>
      </c>
      <c r="N399">
        <v>1</v>
      </c>
      <c r="O399">
        <v>0</v>
      </c>
      <c r="P399">
        <v>1</v>
      </c>
    </row>
    <row r="400" spans="1:16" x14ac:dyDescent="0.25">
      <c r="A400" t="str">
        <f>"396"</f>
        <v>396</v>
      </c>
      <c r="B400" t="str">
        <f t="shared" si="22"/>
        <v>102</v>
      </c>
      <c r="C400" t="str">
        <f t="shared" si="21"/>
        <v>16</v>
      </c>
      <c r="D400" t="str">
        <f>"3"</f>
        <v>3</v>
      </c>
      <c r="E400" t="str">
        <f>"102-16-3"</f>
        <v>102-16-3</v>
      </c>
      <c r="F400" t="s">
        <v>18</v>
      </c>
      <c r="G400" t="s">
        <v>20</v>
      </c>
      <c r="H400">
        <v>1</v>
      </c>
      <c r="K400">
        <v>0</v>
      </c>
      <c r="L400">
        <v>1</v>
      </c>
      <c r="M400">
        <v>0</v>
      </c>
      <c r="N400">
        <v>1</v>
      </c>
    </row>
    <row r="401" spans="1:16" x14ac:dyDescent="0.25">
      <c r="A401" t="str">
        <f>"397"</f>
        <v>397</v>
      </c>
      <c r="B401" t="str">
        <f t="shared" si="22"/>
        <v>102</v>
      </c>
      <c r="C401" t="str">
        <f t="shared" si="21"/>
        <v>16</v>
      </c>
      <c r="D401" t="str">
        <f>"19"</f>
        <v>19</v>
      </c>
      <c r="E401" t="str">
        <f>"102-16-19"</f>
        <v>102-16-19</v>
      </c>
      <c r="F401" t="s">
        <v>18</v>
      </c>
      <c r="G401" t="s">
        <v>20</v>
      </c>
      <c r="H401">
        <v>1</v>
      </c>
      <c r="K401">
        <v>0</v>
      </c>
      <c r="L401">
        <v>1</v>
      </c>
      <c r="M401">
        <v>0</v>
      </c>
      <c r="N401">
        <v>1</v>
      </c>
    </row>
    <row r="402" spans="1:16" x14ac:dyDescent="0.25">
      <c r="A402" t="str">
        <f>"398"</f>
        <v>398</v>
      </c>
      <c r="B402" t="str">
        <f t="shared" si="22"/>
        <v>102</v>
      </c>
      <c r="C402" t="str">
        <f t="shared" si="21"/>
        <v>16</v>
      </c>
      <c r="D402" t="str">
        <f>"9"</f>
        <v>9</v>
      </c>
      <c r="E402" t="str">
        <f>"102-16-9"</f>
        <v>102-16-9</v>
      </c>
      <c r="F402" t="s">
        <v>18</v>
      </c>
      <c r="G402" t="s">
        <v>20</v>
      </c>
      <c r="H402">
        <v>1</v>
      </c>
      <c r="K402">
        <v>0</v>
      </c>
      <c r="L402">
        <v>1</v>
      </c>
      <c r="M402">
        <v>0</v>
      </c>
      <c r="N402">
        <v>1</v>
      </c>
    </row>
    <row r="403" spans="1:16" x14ac:dyDescent="0.25">
      <c r="A403" t="str">
        <f>"399"</f>
        <v>399</v>
      </c>
      <c r="B403" t="str">
        <f t="shared" si="22"/>
        <v>102</v>
      </c>
      <c r="C403" t="str">
        <f t="shared" si="21"/>
        <v>16</v>
      </c>
      <c r="D403" t="str">
        <f>"20"</f>
        <v>20</v>
      </c>
      <c r="E403" t="str">
        <f>"102-16-20"</f>
        <v>102-16-20</v>
      </c>
      <c r="F403" t="s">
        <v>18</v>
      </c>
      <c r="G403" t="s">
        <v>20</v>
      </c>
      <c r="H403">
        <v>1</v>
      </c>
      <c r="K403">
        <v>0</v>
      </c>
      <c r="L403">
        <v>1</v>
      </c>
      <c r="M403">
        <v>0</v>
      </c>
      <c r="N403">
        <v>1</v>
      </c>
    </row>
    <row r="404" spans="1:16" x14ac:dyDescent="0.25">
      <c r="A404" t="str">
        <f>"400"</f>
        <v>400</v>
      </c>
      <c r="B404" t="str">
        <f t="shared" si="22"/>
        <v>102</v>
      </c>
      <c r="C404" t="str">
        <f t="shared" si="21"/>
        <v>16</v>
      </c>
      <c r="D404" t="str">
        <f>"8"</f>
        <v>8</v>
      </c>
      <c r="E404" t="str">
        <f>"102-16-8"</f>
        <v>102-16-8</v>
      </c>
      <c r="F404" t="s">
        <v>18</v>
      </c>
      <c r="G404" t="s">
        <v>19</v>
      </c>
      <c r="H404">
        <v>2</v>
      </c>
      <c r="I404">
        <v>0</v>
      </c>
      <c r="J404">
        <v>1</v>
      </c>
      <c r="K404">
        <v>0</v>
      </c>
      <c r="L404">
        <v>1</v>
      </c>
      <c r="M404">
        <v>0</v>
      </c>
      <c r="N404">
        <v>1</v>
      </c>
      <c r="O404">
        <v>0</v>
      </c>
      <c r="P404">
        <v>1</v>
      </c>
    </row>
    <row r="405" spans="1:16" x14ac:dyDescent="0.25">
      <c r="A405" t="str">
        <f>"401"</f>
        <v>401</v>
      </c>
      <c r="B405" t="str">
        <f t="shared" si="22"/>
        <v>102</v>
      </c>
      <c r="C405" t="str">
        <f t="shared" ref="C405:C429" si="23">"17"</f>
        <v>17</v>
      </c>
      <c r="D405" t="str">
        <f>"23"</f>
        <v>23</v>
      </c>
      <c r="E405" t="str">
        <f>"102-17-23"</f>
        <v>102-17-23</v>
      </c>
      <c r="F405" t="s">
        <v>18</v>
      </c>
      <c r="G405" t="s">
        <v>20</v>
      </c>
      <c r="H405">
        <v>1</v>
      </c>
      <c r="K405">
        <v>0</v>
      </c>
      <c r="L405">
        <v>1</v>
      </c>
      <c r="M405">
        <v>0</v>
      </c>
      <c r="N405">
        <v>1</v>
      </c>
    </row>
    <row r="406" spans="1:16" x14ac:dyDescent="0.25">
      <c r="A406" t="str">
        <f>"402"</f>
        <v>402</v>
      </c>
      <c r="B406" t="str">
        <f t="shared" si="22"/>
        <v>102</v>
      </c>
      <c r="C406" t="str">
        <f t="shared" si="23"/>
        <v>17</v>
      </c>
      <c r="D406" t="str">
        <f>"11"</f>
        <v>11</v>
      </c>
      <c r="E406" t="str">
        <f>"102-17-11"</f>
        <v>102-17-11</v>
      </c>
      <c r="F406" t="s">
        <v>18</v>
      </c>
      <c r="G406" t="s">
        <v>20</v>
      </c>
      <c r="H406">
        <v>1</v>
      </c>
      <c r="K406">
        <v>1</v>
      </c>
      <c r="L406">
        <v>0</v>
      </c>
      <c r="M406">
        <v>1</v>
      </c>
      <c r="N406">
        <v>0</v>
      </c>
    </row>
    <row r="407" spans="1:16" x14ac:dyDescent="0.25">
      <c r="A407" t="str">
        <f>"403"</f>
        <v>403</v>
      </c>
      <c r="B407" t="str">
        <f t="shared" si="22"/>
        <v>102</v>
      </c>
      <c r="C407" t="str">
        <f t="shared" si="23"/>
        <v>17</v>
      </c>
      <c r="D407" t="str">
        <f>"6"</f>
        <v>6</v>
      </c>
      <c r="E407" t="str">
        <f>"102-17-6"</f>
        <v>102-17-6</v>
      </c>
      <c r="F407" t="s">
        <v>18</v>
      </c>
      <c r="G407" t="s">
        <v>20</v>
      </c>
      <c r="H407">
        <v>1</v>
      </c>
      <c r="K407">
        <v>0</v>
      </c>
      <c r="L407">
        <v>1</v>
      </c>
      <c r="M407">
        <v>0</v>
      </c>
      <c r="N407">
        <v>1</v>
      </c>
    </row>
    <row r="408" spans="1:16" x14ac:dyDescent="0.25">
      <c r="A408" t="str">
        <f>"404"</f>
        <v>404</v>
      </c>
      <c r="B408" t="str">
        <f t="shared" si="22"/>
        <v>102</v>
      </c>
      <c r="C408" t="str">
        <f t="shared" si="23"/>
        <v>17</v>
      </c>
      <c r="D408" t="str">
        <f>"2"</f>
        <v>2</v>
      </c>
      <c r="E408" t="str">
        <f>"102-17-2"</f>
        <v>102-17-2</v>
      </c>
      <c r="F408" t="s">
        <v>18</v>
      </c>
      <c r="G408" t="s">
        <v>19</v>
      </c>
      <c r="H408">
        <v>2</v>
      </c>
      <c r="I408">
        <v>0</v>
      </c>
      <c r="J408">
        <v>0</v>
      </c>
      <c r="K408">
        <v>0</v>
      </c>
      <c r="L408">
        <v>1</v>
      </c>
      <c r="M408">
        <v>0</v>
      </c>
      <c r="N408">
        <v>1</v>
      </c>
      <c r="O408">
        <v>0</v>
      </c>
      <c r="P408">
        <v>1</v>
      </c>
    </row>
    <row r="409" spans="1:16" x14ac:dyDescent="0.25">
      <c r="A409" t="str">
        <f>"405"</f>
        <v>405</v>
      </c>
      <c r="B409" t="str">
        <f t="shared" si="22"/>
        <v>102</v>
      </c>
      <c r="C409" t="str">
        <f t="shared" si="23"/>
        <v>17</v>
      </c>
      <c r="D409" t="str">
        <f>"25"</f>
        <v>25</v>
      </c>
      <c r="E409" t="str">
        <f>"102-17-25"</f>
        <v>102-17-25</v>
      </c>
      <c r="F409" t="s">
        <v>18</v>
      </c>
      <c r="G409" t="s">
        <v>19</v>
      </c>
      <c r="H409">
        <v>2</v>
      </c>
      <c r="I409">
        <v>1</v>
      </c>
      <c r="J409">
        <v>1</v>
      </c>
      <c r="K409">
        <v>0</v>
      </c>
      <c r="L409">
        <v>1</v>
      </c>
      <c r="M409">
        <v>0</v>
      </c>
      <c r="N409">
        <v>1</v>
      </c>
      <c r="O409">
        <v>1</v>
      </c>
      <c r="P409">
        <v>0</v>
      </c>
    </row>
    <row r="410" spans="1:16" x14ac:dyDescent="0.25">
      <c r="A410" t="str">
        <f>"406"</f>
        <v>406</v>
      </c>
      <c r="B410" t="str">
        <f t="shared" si="22"/>
        <v>102</v>
      </c>
      <c r="C410" t="str">
        <f t="shared" si="23"/>
        <v>17</v>
      </c>
      <c r="D410" t="str">
        <f>"24"</f>
        <v>24</v>
      </c>
      <c r="E410" t="str">
        <f>"102-17-24"</f>
        <v>102-17-24</v>
      </c>
      <c r="F410" t="s">
        <v>18</v>
      </c>
      <c r="G410" t="s">
        <v>20</v>
      </c>
      <c r="H410">
        <v>1</v>
      </c>
      <c r="K410">
        <v>0</v>
      </c>
      <c r="L410">
        <v>1</v>
      </c>
      <c r="M410">
        <v>0</v>
      </c>
      <c r="N410">
        <v>1</v>
      </c>
    </row>
    <row r="411" spans="1:16" x14ac:dyDescent="0.25">
      <c r="A411" t="str">
        <f>"407"</f>
        <v>407</v>
      </c>
      <c r="B411" t="str">
        <f t="shared" si="22"/>
        <v>102</v>
      </c>
      <c r="C411" t="str">
        <f t="shared" si="23"/>
        <v>17</v>
      </c>
      <c r="D411" t="str">
        <f>"21"</f>
        <v>21</v>
      </c>
      <c r="E411" t="str">
        <f>"102-17-21"</f>
        <v>102-17-21</v>
      </c>
      <c r="F411" t="s">
        <v>18</v>
      </c>
      <c r="G411" t="s">
        <v>20</v>
      </c>
      <c r="H411">
        <v>1</v>
      </c>
      <c r="K411">
        <v>1</v>
      </c>
      <c r="L411">
        <v>0</v>
      </c>
      <c r="M411">
        <v>1</v>
      </c>
      <c r="N411">
        <v>0</v>
      </c>
    </row>
    <row r="412" spans="1:16" x14ac:dyDescent="0.25">
      <c r="A412" t="str">
        <f>"408"</f>
        <v>408</v>
      </c>
      <c r="B412" t="str">
        <f t="shared" si="22"/>
        <v>102</v>
      </c>
      <c r="C412" t="str">
        <f t="shared" si="23"/>
        <v>17</v>
      </c>
      <c r="D412" t="str">
        <f>"13"</f>
        <v>13</v>
      </c>
      <c r="E412" t="str">
        <f>"102-17-13"</f>
        <v>102-17-13</v>
      </c>
      <c r="F412" t="s">
        <v>18</v>
      </c>
      <c r="G412" t="s">
        <v>19</v>
      </c>
      <c r="H412">
        <v>2</v>
      </c>
      <c r="I412">
        <v>0</v>
      </c>
      <c r="J412">
        <v>0</v>
      </c>
      <c r="K412">
        <v>0</v>
      </c>
      <c r="L412">
        <v>1</v>
      </c>
      <c r="M412">
        <v>0</v>
      </c>
      <c r="N412">
        <v>1</v>
      </c>
      <c r="O412">
        <v>1</v>
      </c>
      <c r="P412">
        <v>0</v>
      </c>
    </row>
    <row r="413" spans="1:16" x14ac:dyDescent="0.25">
      <c r="A413" t="str">
        <f>"409"</f>
        <v>409</v>
      </c>
      <c r="B413" t="str">
        <f t="shared" si="22"/>
        <v>102</v>
      </c>
      <c r="C413" t="str">
        <f t="shared" si="23"/>
        <v>17</v>
      </c>
      <c r="D413" t="str">
        <f>"7"</f>
        <v>7</v>
      </c>
      <c r="E413" t="str">
        <f>"102-17-7"</f>
        <v>102-17-7</v>
      </c>
      <c r="F413" t="s">
        <v>18</v>
      </c>
      <c r="G413" t="s">
        <v>20</v>
      </c>
      <c r="H413">
        <v>1</v>
      </c>
      <c r="K413">
        <v>1</v>
      </c>
      <c r="L413">
        <v>0</v>
      </c>
      <c r="M413">
        <v>1</v>
      </c>
      <c r="N413">
        <v>0</v>
      </c>
    </row>
    <row r="414" spans="1:16" x14ac:dyDescent="0.25">
      <c r="A414" t="str">
        <f>"410"</f>
        <v>410</v>
      </c>
      <c r="B414" t="str">
        <f t="shared" si="22"/>
        <v>102</v>
      </c>
      <c r="C414" t="str">
        <f t="shared" si="23"/>
        <v>17</v>
      </c>
      <c r="D414" t="str">
        <f>"14"</f>
        <v>14</v>
      </c>
      <c r="E414" t="str">
        <f>"102-17-14"</f>
        <v>102-17-14</v>
      </c>
      <c r="F414" t="s">
        <v>18</v>
      </c>
      <c r="G414" t="s">
        <v>19</v>
      </c>
      <c r="H414">
        <v>2</v>
      </c>
      <c r="I414">
        <v>0</v>
      </c>
      <c r="J414">
        <v>0</v>
      </c>
      <c r="K414">
        <v>0</v>
      </c>
      <c r="L414">
        <v>1</v>
      </c>
      <c r="M414">
        <v>0</v>
      </c>
      <c r="N414">
        <v>1</v>
      </c>
      <c r="O414">
        <v>1</v>
      </c>
      <c r="P414">
        <v>0</v>
      </c>
    </row>
    <row r="415" spans="1:16" x14ac:dyDescent="0.25">
      <c r="A415" t="str">
        <f>"411"</f>
        <v>411</v>
      </c>
      <c r="B415" t="str">
        <f t="shared" si="22"/>
        <v>102</v>
      </c>
      <c r="C415" t="str">
        <f t="shared" si="23"/>
        <v>17</v>
      </c>
      <c r="D415" t="str">
        <f>"1"</f>
        <v>1</v>
      </c>
      <c r="E415" t="str">
        <f>"102-17-1"</f>
        <v>102-17-1</v>
      </c>
      <c r="F415" t="s">
        <v>18</v>
      </c>
      <c r="G415" t="s">
        <v>19</v>
      </c>
      <c r="H415">
        <v>2</v>
      </c>
      <c r="I415">
        <v>1</v>
      </c>
      <c r="J415">
        <v>1</v>
      </c>
      <c r="K415">
        <v>1</v>
      </c>
      <c r="L415">
        <v>0</v>
      </c>
      <c r="M415">
        <v>1</v>
      </c>
      <c r="N415">
        <v>0</v>
      </c>
      <c r="O415">
        <v>0</v>
      </c>
      <c r="P415">
        <v>1</v>
      </c>
    </row>
    <row r="416" spans="1:16" x14ac:dyDescent="0.25">
      <c r="A416" t="str">
        <f>"412"</f>
        <v>412</v>
      </c>
      <c r="B416" t="str">
        <f t="shared" si="22"/>
        <v>102</v>
      </c>
      <c r="C416" t="str">
        <f t="shared" si="23"/>
        <v>17</v>
      </c>
      <c r="D416" t="str">
        <f>"15"</f>
        <v>15</v>
      </c>
      <c r="E416" t="str">
        <f>"102-17-15"</f>
        <v>102-17-15</v>
      </c>
      <c r="F416" t="s">
        <v>18</v>
      </c>
      <c r="G416" t="s">
        <v>19</v>
      </c>
      <c r="H416">
        <v>2</v>
      </c>
      <c r="I416">
        <v>1</v>
      </c>
      <c r="J416">
        <v>1</v>
      </c>
      <c r="K416">
        <v>1</v>
      </c>
      <c r="L416">
        <v>0</v>
      </c>
      <c r="M416">
        <v>1</v>
      </c>
      <c r="N416">
        <v>0</v>
      </c>
      <c r="O416">
        <v>1</v>
      </c>
      <c r="P416">
        <v>0</v>
      </c>
    </row>
    <row r="417" spans="1:16" x14ac:dyDescent="0.25">
      <c r="A417" t="str">
        <f>"413"</f>
        <v>413</v>
      </c>
      <c r="B417" t="str">
        <f t="shared" si="22"/>
        <v>102</v>
      </c>
      <c r="C417" t="str">
        <f t="shared" si="23"/>
        <v>17</v>
      </c>
      <c r="D417" t="str">
        <f>"9"</f>
        <v>9</v>
      </c>
      <c r="E417" t="str">
        <f>"102-17-9"</f>
        <v>102-17-9</v>
      </c>
      <c r="F417" t="s">
        <v>18</v>
      </c>
      <c r="G417" t="s">
        <v>20</v>
      </c>
      <c r="H417">
        <v>1</v>
      </c>
      <c r="K417">
        <v>0</v>
      </c>
      <c r="L417">
        <v>1</v>
      </c>
      <c r="M417">
        <v>0</v>
      </c>
      <c r="N417">
        <v>1</v>
      </c>
    </row>
    <row r="418" spans="1:16" x14ac:dyDescent="0.25">
      <c r="A418" t="str">
        <f>"414"</f>
        <v>414</v>
      </c>
      <c r="B418" t="str">
        <f t="shared" si="22"/>
        <v>102</v>
      </c>
      <c r="C418" t="str">
        <f t="shared" si="23"/>
        <v>17</v>
      </c>
      <c r="D418" t="str">
        <f>"16"</f>
        <v>16</v>
      </c>
      <c r="E418" t="str">
        <f>"102-17-16"</f>
        <v>102-17-16</v>
      </c>
      <c r="F418" t="s">
        <v>18</v>
      </c>
      <c r="G418" t="s">
        <v>19</v>
      </c>
      <c r="H418">
        <v>2</v>
      </c>
      <c r="I418">
        <v>1</v>
      </c>
      <c r="J418">
        <v>1</v>
      </c>
      <c r="K418">
        <v>1</v>
      </c>
      <c r="L418">
        <v>0</v>
      </c>
      <c r="M418">
        <v>1</v>
      </c>
      <c r="N418">
        <v>0</v>
      </c>
      <c r="O418">
        <v>1</v>
      </c>
      <c r="P418">
        <v>0</v>
      </c>
    </row>
    <row r="419" spans="1:16" x14ac:dyDescent="0.25">
      <c r="A419" t="str">
        <f>"415"</f>
        <v>415</v>
      </c>
      <c r="B419" t="str">
        <f t="shared" si="22"/>
        <v>102</v>
      </c>
      <c r="C419" t="str">
        <f t="shared" si="23"/>
        <v>17</v>
      </c>
      <c r="D419" t="str">
        <f>"5"</f>
        <v>5</v>
      </c>
      <c r="E419" t="str">
        <f>"102-17-5"</f>
        <v>102-17-5</v>
      </c>
      <c r="F419" t="s">
        <v>18</v>
      </c>
      <c r="G419" t="s">
        <v>20</v>
      </c>
      <c r="H419">
        <v>1</v>
      </c>
      <c r="K419">
        <v>0</v>
      </c>
      <c r="L419">
        <v>1</v>
      </c>
      <c r="M419">
        <v>0</v>
      </c>
      <c r="N419">
        <v>1</v>
      </c>
    </row>
    <row r="420" spans="1:16" x14ac:dyDescent="0.25">
      <c r="A420" t="str">
        <f>"416"</f>
        <v>416</v>
      </c>
      <c r="B420" t="str">
        <f t="shared" si="22"/>
        <v>102</v>
      </c>
      <c r="C420" t="str">
        <f t="shared" si="23"/>
        <v>17</v>
      </c>
      <c r="D420" t="str">
        <f>"17"</f>
        <v>17</v>
      </c>
      <c r="E420" t="str">
        <f>"102-17-17"</f>
        <v>102-17-17</v>
      </c>
      <c r="F420" t="s">
        <v>18</v>
      </c>
      <c r="G420" t="s">
        <v>19</v>
      </c>
      <c r="H420">
        <v>2</v>
      </c>
      <c r="I420">
        <v>0</v>
      </c>
      <c r="J420">
        <v>0</v>
      </c>
      <c r="K420">
        <v>0</v>
      </c>
      <c r="L420">
        <v>1</v>
      </c>
      <c r="M420">
        <v>0</v>
      </c>
      <c r="N420">
        <v>1</v>
      </c>
      <c r="O420">
        <v>0</v>
      </c>
      <c r="P420">
        <v>1</v>
      </c>
    </row>
    <row r="421" spans="1:16" x14ac:dyDescent="0.25">
      <c r="A421" t="str">
        <f>"417"</f>
        <v>417</v>
      </c>
      <c r="B421" t="str">
        <f t="shared" si="22"/>
        <v>102</v>
      </c>
      <c r="C421" t="str">
        <f t="shared" si="23"/>
        <v>17</v>
      </c>
      <c r="D421" t="str">
        <f>"8"</f>
        <v>8</v>
      </c>
      <c r="E421" t="str">
        <f>"102-17-8"</f>
        <v>102-17-8</v>
      </c>
      <c r="F421" t="s">
        <v>18</v>
      </c>
      <c r="G421" t="s">
        <v>20</v>
      </c>
      <c r="H421">
        <v>1</v>
      </c>
      <c r="K421">
        <v>1</v>
      </c>
      <c r="L421">
        <v>0</v>
      </c>
      <c r="M421">
        <v>1</v>
      </c>
      <c r="N421">
        <v>0</v>
      </c>
    </row>
    <row r="422" spans="1:16" x14ac:dyDescent="0.25">
      <c r="A422" t="str">
        <f>"418"</f>
        <v>418</v>
      </c>
      <c r="B422" t="str">
        <f t="shared" si="22"/>
        <v>102</v>
      </c>
      <c r="C422" t="str">
        <f t="shared" si="23"/>
        <v>17</v>
      </c>
      <c r="D422" t="str">
        <f>"18"</f>
        <v>18</v>
      </c>
      <c r="E422" t="str">
        <f>"102-17-18"</f>
        <v>102-17-18</v>
      </c>
      <c r="F422" t="s">
        <v>18</v>
      </c>
      <c r="G422" t="s">
        <v>19</v>
      </c>
      <c r="H422">
        <v>2</v>
      </c>
      <c r="I422">
        <v>1</v>
      </c>
      <c r="J422">
        <v>1</v>
      </c>
      <c r="K422">
        <v>0</v>
      </c>
      <c r="L422">
        <v>1</v>
      </c>
      <c r="M422">
        <v>0</v>
      </c>
      <c r="N422">
        <v>1</v>
      </c>
      <c r="O422">
        <v>0</v>
      </c>
      <c r="P422">
        <v>1</v>
      </c>
    </row>
    <row r="423" spans="1:16" x14ac:dyDescent="0.25">
      <c r="A423" t="str">
        <f>"419"</f>
        <v>419</v>
      </c>
      <c r="B423" t="str">
        <f t="shared" si="22"/>
        <v>102</v>
      </c>
      <c r="C423" t="str">
        <f t="shared" si="23"/>
        <v>17</v>
      </c>
      <c r="D423" t="str">
        <f>"4"</f>
        <v>4</v>
      </c>
      <c r="E423" t="str">
        <f>"102-17-4"</f>
        <v>102-17-4</v>
      </c>
      <c r="F423" t="s">
        <v>18</v>
      </c>
      <c r="G423" t="s">
        <v>19</v>
      </c>
      <c r="H423">
        <v>2</v>
      </c>
      <c r="I423">
        <v>0</v>
      </c>
      <c r="J423">
        <v>1</v>
      </c>
      <c r="K423">
        <v>1</v>
      </c>
      <c r="L423">
        <v>0</v>
      </c>
      <c r="M423">
        <v>1</v>
      </c>
      <c r="N423">
        <v>0</v>
      </c>
      <c r="O423">
        <v>1</v>
      </c>
      <c r="P423">
        <v>0</v>
      </c>
    </row>
    <row r="424" spans="1:16" x14ac:dyDescent="0.25">
      <c r="A424" t="str">
        <f>"420"</f>
        <v>420</v>
      </c>
      <c r="B424" t="str">
        <f t="shared" si="22"/>
        <v>102</v>
      </c>
      <c r="C424" t="str">
        <f t="shared" si="23"/>
        <v>17</v>
      </c>
      <c r="D424" t="str">
        <f>"19"</f>
        <v>19</v>
      </c>
      <c r="E424" t="str">
        <f>"102-17-19"</f>
        <v>102-17-19</v>
      </c>
      <c r="F424" t="s">
        <v>18</v>
      </c>
      <c r="G424" t="s">
        <v>19</v>
      </c>
      <c r="H424">
        <v>2</v>
      </c>
      <c r="I424">
        <v>1</v>
      </c>
      <c r="J424">
        <v>1</v>
      </c>
      <c r="K424">
        <v>0</v>
      </c>
      <c r="L424">
        <v>1</v>
      </c>
      <c r="M424">
        <v>1</v>
      </c>
      <c r="N424">
        <v>0</v>
      </c>
      <c r="O424">
        <v>1</v>
      </c>
      <c r="P424">
        <v>0</v>
      </c>
    </row>
    <row r="425" spans="1:16" x14ac:dyDescent="0.25">
      <c r="A425" t="str">
        <f>"421"</f>
        <v>421</v>
      </c>
      <c r="B425" t="str">
        <f t="shared" si="22"/>
        <v>102</v>
      </c>
      <c r="C425" t="str">
        <f t="shared" si="23"/>
        <v>17</v>
      </c>
      <c r="D425" t="str">
        <f>"3"</f>
        <v>3</v>
      </c>
      <c r="E425" t="str">
        <f>"102-17-3"</f>
        <v>102-17-3</v>
      </c>
      <c r="F425" t="s">
        <v>18</v>
      </c>
      <c r="G425" t="s">
        <v>19</v>
      </c>
      <c r="H425">
        <v>2</v>
      </c>
      <c r="I425">
        <v>1</v>
      </c>
      <c r="J425">
        <v>1</v>
      </c>
      <c r="K425">
        <v>0</v>
      </c>
      <c r="L425">
        <v>1</v>
      </c>
      <c r="M425">
        <v>0</v>
      </c>
      <c r="N425">
        <v>1</v>
      </c>
      <c r="O425">
        <v>0</v>
      </c>
      <c r="P425">
        <v>1</v>
      </c>
    </row>
    <row r="426" spans="1:16" x14ac:dyDescent="0.25">
      <c r="A426" t="str">
        <f>"422"</f>
        <v>422</v>
      </c>
      <c r="B426" t="str">
        <f t="shared" si="22"/>
        <v>102</v>
      </c>
      <c r="C426" t="str">
        <f t="shared" si="23"/>
        <v>17</v>
      </c>
      <c r="D426" t="str">
        <f>"20"</f>
        <v>20</v>
      </c>
      <c r="E426" t="str">
        <f>"102-17-20"</f>
        <v>102-17-20</v>
      </c>
      <c r="F426" t="s">
        <v>18</v>
      </c>
      <c r="G426" t="s">
        <v>20</v>
      </c>
      <c r="H426">
        <v>1</v>
      </c>
      <c r="K426">
        <v>1</v>
      </c>
      <c r="L426">
        <v>0</v>
      </c>
      <c r="M426">
        <v>1</v>
      </c>
      <c r="N426">
        <v>0</v>
      </c>
    </row>
    <row r="427" spans="1:16" x14ac:dyDescent="0.25">
      <c r="A427" t="str">
        <f>"423"</f>
        <v>423</v>
      </c>
      <c r="B427" t="str">
        <f t="shared" si="22"/>
        <v>102</v>
      </c>
      <c r="C427" t="str">
        <f t="shared" si="23"/>
        <v>17</v>
      </c>
      <c r="D427" t="str">
        <f>"10"</f>
        <v>10</v>
      </c>
      <c r="E427" t="str">
        <f>"102-17-10"</f>
        <v>102-17-10</v>
      </c>
      <c r="F427" t="s">
        <v>18</v>
      </c>
      <c r="G427" t="s">
        <v>19</v>
      </c>
      <c r="H427">
        <v>2</v>
      </c>
      <c r="I427">
        <v>1</v>
      </c>
      <c r="J427">
        <v>1</v>
      </c>
      <c r="K427">
        <v>1</v>
      </c>
      <c r="L427">
        <v>0</v>
      </c>
      <c r="M427">
        <v>0</v>
      </c>
      <c r="N427">
        <v>1</v>
      </c>
      <c r="O427">
        <v>1</v>
      </c>
      <c r="P427">
        <v>0</v>
      </c>
    </row>
    <row r="428" spans="1:16" x14ac:dyDescent="0.25">
      <c r="A428" t="str">
        <f>"424"</f>
        <v>424</v>
      </c>
      <c r="B428" t="str">
        <f t="shared" si="22"/>
        <v>102</v>
      </c>
      <c r="C428" t="str">
        <f t="shared" si="23"/>
        <v>17</v>
      </c>
      <c r="D428" t="str">
        <f>"22"</f>
        <v>22</v>
      </c>
      <c r="E428" t="str">
        <f>"102-17-22"</f>
        <v>102-17-22</v>
      </c>
      <c r="F428" t="s">
        <v>18</v>
      </c>
      <c r="G428" t="s">
        <v>20</v>
      </c>
      <c r="H428">
        <v>1</v>
      </c>
      <c r="K428">
        <v>0</v>
      </c>
      <c r="L428">
        <v>0</v>
      </c>
      <c r="M428">
        <v>0</v>
      </c>
      <c r="N428">
        <v>0</v>
      </c>
    </row>
    <row r="429" spans="1:16" x14ac:dyDescent="0.25">
      <c r="A429" t="str">
        <f>"425"</f>
        <v>425</v>
      </c>
      <c r="B429" t="str">
        <f t="shared" si="22"/>
        <v>102</v>
      </c>
      <c r="C429" t="str">
        <f t="shared" si="23"/>
        <v>17</v>
      </c>
      <c r="D429" t="str">
        <f>"12"</f>
        <v>12</v>
      </c>
      <c r="E429" t="str">
        <f>"102-17-12"</f>
        <v>102-17-12</v>
      </c>
      <c r="F429" t="s">
        <v>18</v>
      </c>
      <c r="G429" t="s">
        <v>19</v>
      </c>
      <c r="H429">
        <v>2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</row>
    <row r="430" spans="1:16" x14ac:dyDescent="0.25">
      <c r="A430" t="str">
        <f>"426"</f>
        <v>426</v>
      </c>
      <c r="B430" t="str">
        <f t="shared" si="22"/>
        <v>102</v>
      </c>
      <c r="C430" t="str">
        <f t="shared" ref="C430:C454" si="24">"18"</f>
        <v>18</v>
      </c>
      <c r="D430" t="str">
        <f>"21"</f>
        <v>21</v>
      </c>
      <c r="E430" t="str">
        <f>"102-18-21"</f>
        <v>102-18-21</v>
      </c>
      <c r="F430" t="s">
        <v>18</v>
      </c>
      <c r="G430" t="s">
        <v>20</v>
      </c>
      <c r="H430">
        <v>1</v>
      </c>
      <c r="K430">
        <v>0</v>
      </c>
      <c r="L430">
        <v>1</v>
      </c>
      <c r="M430">
        <v>0</v>
      </c>
      <c r="N430">
        <v>1</v>
      </c>
    </row>
    <row r="431" spans="1:16" x14ac:dyDescent="0.25">
      <c r="A431" t="str">
        <f>"427"</f>
        <v>427</v>
      </c>
      <c r="B431" t="str">
        <f t="shared" si="22"/>
        <v>102</v>
      </c>
      <c r="C431" t="str">
        <f t="shared" si="24"/>
        <v>18</v>
      </c>
      <c r="D431" t="str">
        <f>"11"</f>
        <v>11</v>
      </c>
      <c r="E431" t="str">
        <f>"102-18-11"</f>
        <v>102-18-11</v>
      </c>
      <c r="F431" t="s">
        <v>18</v>
      </c>
      <c r="G431" t="s">
        <v>19</v>
      </c>
      <c r="H431">
        <v>2</v>
      </c>
      <c r="I431">
        <v>1</v>
      </c>
      <c r="J431">
        <v>0</v>
      </c>
      <c r="K431">
        <v>0</v>
      </c>
      <c r="L431">
        <v>1</v>
      </c>
      <c r="M431">
        <v>0</v>
      </c>
      <c r="N431">
        <v>1</v>
      </c>
      <c r="O431">
        <v>0</v>
      </c>
      <c r="P431">
        <v>1</v>
      </c>
    </row>
    <row r="432" spans="1:16" x14ac:dyDescent="0.25">
      <c r="A432" t="str">
        <f>"428"</f>
        <v>428</v>
      </c>
      <c r="B432" t="str">
        <f t="shared" si="22"/>
        <v>102</v>
      </c>
      <c r="C432" t="str">
        <f t="shared" si="24"/>
        <v>18</v>
      </c>
      <c r="D432" t="str">
        <f>"1"</f>
        <v>1</v>
      </c>
      <c r="E432" t="str">
        <f>"102-18-1"</f>
        <v>102-18-1</v>
      </c>
      <c r="F432" t="s">
        <v>18</v>
      </c>
      <c r="G432" t="s">
        <v>19</v>
      </c>
      <c r="H432">
        <v>2</v>
      </c>
      <c r="I432">
        <v>1</v>
      </c>
      <c r="J432">
        <v>1</v>
      </c>
      <c r="K432">
        <v>1</v>
      </c>
      <c r="L432">
        <v>0</v>
      </c>
      <c r="M432">
        <v>0</v>
      </c>
      <c r="N432">
        <v>0</v>
      </c>
      <c r="O432">
        <v>1</v>
      </c>
      <c r="P432">
        <v>0</v>
      </c>
    </row>
    <row r="433" spans="1:16" x14ac:dyDescent="0.25">
      <c r="A433" t="str">
        <f>"429"</f>
        <v>429</v>
      </c>
      <c r="B433" t="str">
        <f t="shared" si="22"/>
        <v>102</v>
      </c>
      <c r="C433" t="str">
        <f t="shared" si="24"/>
        <v>18</v>
      </c>
      <c r="D433" t="str">
        <f>"22"</f>
        <v>22</v>
      </c>
      <c r="E433" t="str">
        <f>"102-18-22"</f>
        <v>102-18-22</v>
      </c>
      <c r="F433" t="s">
        <v>18</v>
      </c>
      <c r="G433" t="s">
        <v>20</v>
      </c>
      <c r="H433">
        <v>1</v>
      </c>
      <c r="K433">
        <v>1</v>
      </c>
      <c r="L433">
        <v>0</v>
      </c>
      <c r="M433">
        <v>1</v>
      </c>
      <c r="N433">
        <v>0</v>
      </c>
    </row>
    <row r="434" spans="1:16" x14ac:dyDescent="0.25">
      <c r="A434" t="str">
        <f>"430"</f>
        <v>430</v>
      </c>
      <c r="B434" t="str">
        <f t="shared" si="22"/>
        <v>102</v>
      </c>
      <c r="C434" t="str">
        <f t="shared" si="24"/>
        <v>18</v>
      </c>
      <c r="D434" t="str">
        <f>"12"</f>
        <v>12</v>
      </c>
      <c r="E434" t="str">
        <f>"102-18-12"</f>
        <v>102-18-12</v>
      </c>
      <c r="F434" t="s">
        <v>18</v>
      </c>
      <c r="G434" t="s">
        <v>19</v>
      </c>
      <c r="H434">
        <v>2</v>
      </c>
      <c r="I434">
        <v>0</v>
      </c>
      <c r="J434">
        <v>1</v>
      </c>
      <c r="K434">
        <v>0</v>
      </c>
      <c r="L434">
        <v>1</v>
      </c>
      <c r="M434">
        <v>0</v>
      </c>
      <c r="N434">
        <v>1</v>
      </c>
      <c r="O434">
        <v>0</v>
      </c>
      <c r="P434">
        <v>1</v>
      </c>
    </row>
    <row r="435" spans="1:16" x14ac:dyDescent="0.25">
      <c r="A435" t="str">
        <f>"431"</f>
        <v>431</v>
      </c>
      <c r="B435" t="str">
        <f t="shared" si="22"/>
        <v>102</v>
      </c>
      <c r="C435" t="str">
        <f t="shared" si="24"/>
        <v>18</v>
      </c>
      <c r="D435" t="str">
        <f>"2"</f>
        <v>2</v>
      </c>
      <c r="E435" t="str">
        <f>"102-18-2"</f>
        <v>102-18-2</v>
      </c>
      <c r="F435" t="s">
        <v>18</v>
      </c>
      <c r="G435" t="s">
        <v>19</v>
      </c>
      <c r="H435">
        <v>2</v>
      </c>
      <c r="I435">
        <v>0</v>
      </c>
      <c r="J435">
        <v>0</v>
      </c>
      <c r="K435">
        <v>0</v>
      </c>
      <c r="L435">
        <v>1</v>
      </c>
      <c r="M435">
        <v>0</v>
      </c>
      <c r="N435">
        <v>1</v>
      </c>
      <c r="O435">
        <v>0</v>
      </c>
      <c r="P435">
        <v>1</v>
      </c>
    </row>
    <row r="436" spans="1:16" x14ac:dyDescent="0.25">
      <c r="A436" t="str">
        <f>"432"</f>
        <v>432</v>
      </c>
      <c r="B436" t="str">
        <f t="shared" si="22"/>
        <v>102</v>
      </c>
      <c r="C436" t="str">
        <f t="shared" si="24"/>
        <v>18</v>
      </c>
      <c r="D436" t="str">
        <f>"23"</f>
        <v>23</v>
      </c>
      <c r="E436" t="str">
        <f>"102-18-23"</f>
        <v>102-18-23</v>
      </c>
      <c r="F436" t="s">
        <v>18</v>
      </c>
      <c r="G436" t="s">
        <v>20</v>
      </c>
      <c r="H436">
        <v>1</v>
      </c>
      <c r="K436">
        <v>0</v>
      </c>
      <c r="L436">
        <v>1</v>
      </c>
      <c r="M436">
        <v>0</v>
      </c>
      <c r="N436">
        <v>1</v>
      </c>
    </row>
    <row r="437" spans="1:16" x14ac:dyDescent="0.25">
      <c r="A437" t="str">
        <f>"433"</f>
        <v>433</v>
      </c>
      <c r="B437" t="str">
        <f t="shared" si="22"/>
        <v>102</v>
      </c>
      <c r="C437" t="str">
        <f t="shared" si="24"/>
        <v>18</v>
      </c>
      <c r="D437" t="str">
        <f>"13"</f>
        <v>13</v>
      </c>
      <c r="E437" t="str">
        <f>"102-18-13"</f>
        <v>102-18-13</v>
      </c>
      <c r="F437" t="s">
        <v>18</v>
      </c>
      <c r="G437" t="s">
        <v>19</v>
      </c>
      <c r="H437">
        <v>2</v>
      </c>
      <c r="I437">
        <v>1</v>
      </c>
      <c r="J437">
        <v>1</v>
      </c>
      <c r="K437">
        <v>0</v>
      </c>
      <c r="L437">
        <v>1</v>
      </c>
      <c r="M437">
        <v>0</v>
      </c>
      <c r="N437">
        <v>1</v>
      </c>
      <c r="O437">
        <v>0</v>
      </c>
      <c r="P437">
        <v>1</v>
      </c>
    </row>
    <row r="438" spans="1:16" x14ac:dyDescent="0.25">
      <c r="A438" t="str">
        <f>"434"</f>
        <v>434</v>
      </c>
      <c r="B438" t="str">
        <f t="shared" si="22"/>
        <v>102</v>
      </c>
      <c r="C438" t="str">
        <f t="shared" si="24"/>
        <v>18</v>
      </c>
      <c r="D438" t="str">
        <f>"3"</f>
        <v>3</v>
      </c>
      <c r="E438" t="str">
        <f>"102-18-3"</f>
        <v>102-18-3</v>
      </c>
      <c r="F438" t="s">
        <v>18</v>
      </c>
      <c r="G438" t="s">
        <v>19</v>
      </c>
      <c r="H438">
        <v>2</v>
      </c>
      <c r="I438">
        <v>1</v>
      </c>
      <c r="J438">
        <v>1</v>
      </c>
      <c r="K438">
        <v>0</v>
      </c>
      <c r="L438">
        <v>1</v>
      </c>
      <c r="M438">
        <v>1</v>
      </c>
      <c r="N438">
        <v>0</v>
      </c>
      <c r="O438">
        <v>1</v>
      </c>
      <c r="P438">
        <v>0</v>
      </c>
    </row>
    <row r="439" spans="1:16" x14ac:dyDescent="0.25">
      <c r="A439" t="str">
        <f>"435"</f>
        <v>435</v>
      </c>
      <c r="B439" t="str">
        <f t="shared" si="22"/>
        <v>102</v>
      </c>
      <c r="C439" t="str">
        <f t="shared" si="24"/>
        <v>18</v>
      </c>
      <c r="D439" t="str">
        <f>"14"</f>
        <v>14</v>
      </c>
      <c r="E439" t="str">
        <f>"102-18-14"</f>
        <v>102-18-14</v>
      </c>
      <c r="F439" t="s">
        <v>18</v>
      </c>
      <c r="G439" t="s">
        <v>19</v>
      </c>
      <c r="H439">
        <v>2</v>
      </c>
      <c r="I439">
        <v>1</v>
      </c>
      <c r="J439">
        <v>1</v>
      </c>
      <c r="K439">
        <v>0</v>
      </c>
      <c r="L439">
        <v>1</v>
      </c>
      <c r="M439">
        <v>0</v>
      </c>
      <c r="N439">
        <v>1</v>
      </c>
      <c r="O439">
        <v>0</v>
      </c>
      <c r="P439">
        <v>1</v>
      </c>
    </row>
    <row r="440" spans="1:16" x14ac:dyDescent="0.25">
      <c r="A440" t="str">
        <f>"436"</f>
        <v>436</v>
      </c>
      <c r="B440" t="str">
        <f t="shared" si="22"/>
        <v>102</v>
      </c>
      <c r="C440" t="str">
        <f t="shared" si="24"/>
        <v>18</v>
      </c>
      <c r="D440" t="str">
        <f>"8"</f>
        <v>8</v>
      </c>
      <c r="E440" t="str">
        <f>"102-18-8"</f>
        <v>102-18-8</v>
      </c>
      <c r="F440" t="s">
        <v>18</v>
      </c>
      <c r="G440" t="s">
        <v>19</v>
      </c>
      <c r="H440">
        <v>2</v>
      </c>
      <c r="I440">
        <v>1</v>
      </c>
      <c r="J440">
        <v>1</v>
      </c>
      <c r="K440">
        <v>0</v>
      </c>
      <c r="L440">
        <v>1</v>
      </c>
      <c r="M440">
        <v>0</v>
      </c>
      <c r="N440">
        <v>1</v>
      </c>
      <c r="O440">
        <v>1</v>
      </c>
      <c r="P440">
        <v>0</v>
      </c>
    </row>
    <row r="441" spans="1:16" x14ac:dyDescent="0.25">
      <c r="A441" t="str">
        <f>"437"</f>
        <v>437</v>
      </c>
      <c r="B441" t="str">
        <f t="shared" si="22"/>
        <v>102</v>
      </c>
      <c r="C441" t="str">
        <f t="shared" si="24"/>
        <v>18</v>
      </c>
      <c r="D441" t="str">
        <f>"15"</f>
        <v>15</v>
      </c>
      <c r="E441" t="str">
        <f>"102-18-15"</f>
        <v>102-18-15</v>
      </c>
      <c r="F441" t="s">
        <v>18</v>
      </c>
      <c r="G441" t="s">
        <v>19</v>
      </c>
      <c r="H441">
        <v>2</v>
      </c>
      <c r="I441">
        <v>0</v>
      </c>
      <c r="J441">
        <v>1</v>
      </c>
      <c r="K441">
        <v>0</v>
      </c>
      <c r="L441">
        <v>1</v>
      </c>
      <c r="M441">
        <v>0</v>
      </c>
      <c r="N441">
        <v>1</v>
      </c>
      <c r="O441">
        <v>0</v>
      </c>
      <c r="P441">
        <v>1</v>
      </c>
    </row>
    <row r="442" spans="1:16" x14ac:dyDescent="0.25">
      <c r="A442" t="str">
        <f>"438"</f>
        <v>438</v>
      </c>
      <c r="B442" t="str">
        <f t="shared" si="22"/>
        <v>102</v>
      </c>
      <c r="C442" t="str">
        <f t="shared" si="24"/>
        <v>18</v>
      </c>
      <c r="D442" t="str">
        <f>"6"</f>
        <v>6</v>
      </c>
      <c r="E442" t="str">
        <f>"102-18-6"</f>
        <v>102-18-6</v>
      </c>
      <c r="F442" t="s">
        <v>18</v>
      </c>
      <c r="G442" t="s">
        <v>19</v>
      </c>
      <c r="H442">
        <v>2</v>
      </c>
      <c r="I442">
        <v>1</v>
      </c>
      <c r="J442">
        <v>1</v>
      </c>
      <c r="K442">
        <v>0</v>
      </c>
      <c r="L442">
        <v>1</v>
      </c>
      <c r="M442">
        <v>0</v>
      </c>
      <c r="N442">
        <v>1</v>
      </c>
      <c r="O442">
        <v>1</v>
      </c>
      <c r="P442">
        <v>0</v>
      </c>
    </row>
    <row r="443" spans="1:16" x14ac:dyDescent="0.25">
      <c r="A443" t="str">
        <f>"439"</f>
        <v>439</v>
      </c>
      <c r="B443" t="str">
        <f t="shared" si="22"/>
        <v>102</v>
      </c>
      <c r="C443" t="str">
        <f t="shared" si="24"/>
        <v>18</v>
      </c>
      <c r="D443" t="str">
        <f>"16"</f>
        <v>16</v>
      </c>
      <c r="E443" t="str">
        <f>"102-18-16"</f>
        <v>102-18-16</v>
      </c>
      <c r="F443" t="s">
        <v>18</v>
      </c>
      <c r="G443" t="s">
        <v>19</v>
      </c>
      <c r="H443">
        <v>2</v>
      </c>
      <c r="I443">
        <v>0</v>
      </c>
      <c r="J443">
        <v>1</v>
      </c>
      <c r="K443">
        <v>0</v>
      </c>
      <c r="L443">
        <v>1</v>
      </c>
      <c r="M443">
        <v>0</v>
      </c>
      <c r="N443">
        <v>1</v>
      </c>
      <c r="O443">
        <v>0</v>
      </c>
      <c r="P443">
        <v>1</v>
      </c>
    </row>
    <row r="444" spans="1:16" x14ac:dyDescent="0.25">
      <c r="A444" t="str">
        <f>"440"</f>
        <v>440</v>
      </c>
      <c r="B444" t="str">
        <f t="shared" si="22"/>
        <v>102</v>
      </c>
      <c r="C444" t="str">
        <f t="shared" si="24"/>
        <v>18</v>
      </c>
      <c r="D444" t="str">
        <f>"5"</f>
        <v>5</v>
      </c>
      <c r="E444" t="str">
        <f>"102-18-5"</f>
        <v>102-18-5</v>
      </c>
      <c r="F444" t="s">
        <v>18</v>
      </c>
      <c r="G444" t="s">
        <v>19</v>
      </c>
      <c r="H444">
        <v>2</v>
      </c>
      <c r="I444">
        <v>1</v>
      </c>
      <c r="J444">
        <v>1</v>
      </c>
      <c r="K444">
        <v>0</v>
      </c>
      <c r="L444">
        <v>1</v>
      </c>
      <c r="M444">
        <v>0</v>
      </c>
      <c r="N444">
        <v>1</v>
      </c>
      <c r="O444">
        <v>1</v>
      </c>
      <c r="P444">
        <v>0</v>
      </c>
    </row>
    <row r="445" spans="1:16" x14ac:dyDescent="0.25">
      <c r="A445" t="str">
        <f>"441"</f>
        <v>441</v>
      </c>
      <c r="B445" t="str">
        <f t="shared" si="22"/>
        <v>102</v>
      </c>
      <c r="C445" t="str">
        <f t="shared" si="24"/>
        <v>18</v>
      </c>
      <c r="D445" t="str">
        <f>"24"</f>
        <v>24</v>
      </c>
      <c r="E445" t="str">
        <f>"102-18-24"</f>
        <v>102-18-24</v>
      </c>
      <c r="F445" t="s">
        <v>18</v>
      </c>
      <c r="G445" t="s">
        <v>20</v>
      </c>
      <c r="H445">
        <v>1</v>
      </c>
      <c r="K445">
        <v>0</v>
      </c>
      <c r="L445">
        <v>1</v>
      </c>
      <c r="M445">
        <v>0</v>
      </c>
      <c r="N445">
        <v>1</v>
      </c>
    </row>
    <row r="446" spans="1:16" x14ac:dyDescent="0.25">
      <c r="A446" t="str">
        <f>"442"</f>
        <v>442</v>
      </c>
      <c r="B446" t="str">
        <f t="shared" si="22"/>
        <v>102</v>
      </c>
      <c r="C446" t="str">
        <f t="shared" si="24"/>
        <v>18</v>
      </c>
      <c r="D446" t="str">
        <f>"17"</f>
        <v>17</v>
      </c>
      <c r="E446" t="str">
        <f>"102-18-17"</f>
        <v>102-18-17</v>
      </c>
      <c r="F446" t="s">
        <v>18</v>
      </c>
      <c r="G446" t="s">
        <v>20</v>
      </c>
      <c r="H446">
        <v>1</v>
      </c>
      <c r="K446">
        <v>1</v>
      </c>
      <c r="L446">
        <v>0</v>
      </c>
      <c r="M446">
        <v>1</v>
      </c>
      <c r="N446">
        <v>0</v>
      </c>
    </row>
    <row r="447" spans="1:16" x14ac:dyDescent="0.25">
      <c r="A447" t="str">
        <f>"443"</f>
        <v>443</v>
      </c>
      <c r="B447" t="str">
        <f t="shared" si="22"/>
        <v>102</v>
      </c>
      <c r="C447" t="str">
        <f t="shared" si="24"/>
        <v>18</v>
      </c>
      <c r="D447" t="str">
        <f>"10"</f>
        <v>10</v>
      </c>
      <c r="E447" t="str">
        <f>"102-18-10"</f>
        <v>102-18-10</v>
      </c>
      <c r="F447" t="s">
        <v>18</v>
      </c>
      <c r="G447" t="s">
        <v>19</v>
      </c>
      <c r="H447">
        <v>2</v>
      </c>
      <c r="I447">
        <v>1</v>
      </c>
      <c r="J447">
        <v>0</v>
      </c>
      <c r="K447">
        <v>0</v>
      </c>
      <c r="L447">
        <v>1</v>
      </c>
      <c r="M447">
        <v>0</v>
      </c>
      <c r="N447">
        <v>1</v>
      </c>
      <c r="O447">
        <v>1</v>
      </c>
      <c r="P447">
        <v>0</v>
      </c>
    </row>
    <row r="448" spans="1:16" x14ac:dyDescent="0.25">
      <c r="A448" t="str">
        <f>"444"</f>
        <v>444</v>
      </c>
      <c r="B448" t="str">
        <f t="shared" si="22"/>
        <v>102</v>
      </c>
      <c r="C448" t="str">
        <f t="shared" si="24"/>
        <v>18</v>
      </c>
      <c r="D448" t="str">
        <f>"18"</f>
        <v>18</v>
      </c>
      <c r="E448" t="str">
        <f>"102-18-18"</f>
        <v>102-18-18</v>
      </c>
      <c r="F448" t="s">
        <v>18</v>
      </c>
      <c r="G448" t="s">
        <v>20</v>
      </c>
      <c r="H448">
        <v>1</v>
      </c>
      <c r="K448">
        <v>1</v>
      </c>
      <c r="L448">
        <v>0</v>
      </c>
      <c r="M448">
        <v>1</v>
      </c>
      <c r="N448">
        <v>0</v>
      </c>
    </row>
    <row r="449" spans="1:16" x14ac:dyDescent="0.25">
      <c r="A449" t="str">
        <f>"445"</f>
        <v>445</v>
      </c>
      <c r="B449" t="str">
        <f t="shared" si="22"/>
        <v>102</v>
      </c>
      <c r="C449" t="str">
        <f t="shared" si="24"/>
        <v>18</v>
      </c>
      <c r="D449" t="str">
        <f>"7"</f>
        <v>7</v>
      </c>
      <c r="E449" t="str">
        <f>"102-18-7"</f>
        <v>102-18-7</v>
      </c>
      <c r="F449" t="s">
        <v>18</v>
      </c>
      <c r="G449" t="s">
        <v>19</v>
      </c>
      <c r="H449">
        <v>2</v>
      </c>
      <c r="I449">
        <v>1</v>
      </c>
      <c r="J449">
        <v>1</v>
      </c>
      <c r="K449">
        <v>0</v>
      </c>
      <c r="L449">
        <v>1</v>
      </c>
      <c r="M449">
        <v>0</v>
      </c>
      <c r="N449">
        <v>1</v>
      </c>
      <c r="O449">
        <v>1</v>
      </c>
      <c r="P449">
        <v>0</v>
      </c>
    </row>
    <row r="450" spans="1:16" x14ac:dyDescent="0.25">
      <c r="A450" t="str">
        <f>"446"</f>
        <v>446</v>
      </c>
      <c r="B450" t="str">
        <f t="shared" si="22"/>
        <v>102</v>
      </c>
      <c r="C450" t="str">
        <f t="shared" si="24"/>
        <v>18</v>
      </c>
      <c r="D450" t="str">
        <f>"19"</f>
        <v>19</v>
      </c>
      <c r="E450" t="str">
        <f>"102-18-19"</f>
        <v>102-18-19</v>
      </c>
      <c r="F450" t="s">
        <v>18</v>
      </c>
      <c r="G450" t="s">
        <v>20</v>
      </c>
      <c r="H450">
        <v>1</v>
      </c>
      <c r="K450">
        <v>0</v>
      </c>
      <c r="L450">
        <v>1</v>
      </c>
      <c r="M450">
        <v>0</v>
      </c>
      <c r="N450">
        <v>1</v>
      </c>
    </row>
    <row r="451" spans="1:16" x14ac:dyDescent="0.25">
      <c r="A451" t="str">
        <f>"447"</f>
        <v>447</v>
      </c>
      <c r="B451" t="str">
        <f t="shared" si="22"/>
        <v>102</v>
      </c>
      <c r="C451" t="str">
        <f t="shared" si="24"/>
        <v>18</v>
      </c>
      <c r="D451" t="str">
        <f>"4"</f>
        <v>4</v>
      </c>
      <c r="E451" t="str">
        <f>"102-18-4"</f>
        <v>102-18-4</v>
      </c>
      <c r="F451" t="s">
        <v>18</v>
      </c>
      <c r="G451" t="s">
        <v>19</v>
      </c>
      <c r="H451">
        <v>2</v>
      </c>
      <c r="I451">
        <v>1</v>
      </c>
      <c r="J451">
        <v>1</v>
      </c>
      <c r="K451">
        <v>0</v>
      </c>
      <c r="L451">
        <v>1</v>
      </c>
      <c r="M451">
        <v>1</v>
      </c>
      <c r="N451">
        <v>0</v>
      </c>
      <c r="O451">
        <v>1</v>
      </c>
      <c r="P451">
        <v>0</v>
      </c>
    </row>
    <row r="452" spans="1:16" x14ac:dyDescent="0.25">
      <c r="A452" t="str">
        <f>"448"</f>
        <v>448</v>
      </c>
      <c r="B452" t="str">
        <f t="shared" si="22"/>
        <v>102</v>
      </c>
      <c r="C452" t="str">
        <f t="shared" si="24"/>
        <v>18</v>
      </c>
      <c r="D452" t="str">
        <f>"25"</f>
        <v>25</v>
      </c>
      <c r="E452" t="str">
        <f>"102-18-25"</f>
        <v>102-18-25</v>
      </c>
      <c r="F452" t="s">
        <v>18</v>
      </c>
      <c r="G452" t="s">
        <v>20</v>
      </c>
      <c r="H452">
        <v>1</v>
      </c>
      <c r="K452">
        <v>0</v>
      </c>
      <c r="L452">
        <v>1</v>
      </c>
      <c r="M452">
        <v>0</v>
      </c>
      <c r="N452">
        <v>1</v>
      </c>
    </row>
    <row r="453" spans="1:16" x14ac:dyDescent="0.25">
      <c r="A453" t="str">
        <f>"449"</f>
        <v>449</v>
      </c>
      <c r="B453" t="str">
        <f t="shared" ref="B453:B516" si="25">"102"</f>
        <v>102</v>
      </c>
      <c r="C453" t="str">
        <f t="shared" si="24"/>
        <v>18</v>
      </c>
      <c r="D453" t="str">
        <f>"20"</f>
        <v>20</v>
      </c>
      <c r="E453" t="str">
        <f>"102-18-20"</f>
        <v>102-18-20</v>
      </c>
      <c r="F453" t="s">
        <v>18</v>
      </c>
      <c r="G453" t="s">
        <v>20</v>
      </c>
      <c r="H453">
        <v>1</v>
      </c>
      <c r="K453">
        <v>0</v>
      </c>
      <c r="L453">
        <v>1</v>
      </c>
      <c r="M453">
        <v>0</v>
      </c>
      <c r="N453">
        <v>1</v>
      </c>
    </row>
    <row r="454" spans="1:16" x14ac:dyDescent="0.25">
      <c r="A454" t="str">
        <f>"450"</f>
        <v>450</v>
      </c>
      <c r="B454" t="str">
        <f t="shared" si="25"/>
        <v>102</v>
      </c>
      <c r="C454" t="str">
        <f t="shared" si="24"/>
        <v>18</v>
      </c>
      <c r="D454" t="str">
        <f>"9"</f>
        <v>9</v>
      </c>
      <c r="E454" t="str">
        <f>"102-18-9"</f>
        <v>102-18-9</v>
      </c>
      <c r="F454" t="s">
        <v>18</v>
      </c>
      <c r="G454" t="s">
        <v>19</v>
      </c>
      <c r="H454">
        <v>2</v>
      </c>
      <c r="I454">
        <v>1</v>
      </c>
      <c r="J454">
        <v>0</v>
      </c>
      <c r="K454">
        <v>0</v>
      </c>
      <c r="L454">
        <v>1</v>
      </c>
      <c r="M454">
        <v>0</v>
      </c>
      <c r="N454">
        <v>1</v>
      </c>
      <c r="O454">
        <v>1</v>
      </c>
      <c r="P454">
        <v>0</v>
      </c>
    </row>
    <row r="455" spans="1:16" x14ac:dyDescent="0.25">
      <c r="A455" t="str">
        <f>"451"</f>
        <v>451</v>
      </c>
      <c r="B455" t="str">
        <f t="shared" si="25"/>
        <v>102</v>
      </c>
      <c r="C455" t="str">
        <f t="shared" ref="C455:C479" si="26">"19"</f>
        <v>19</v>
      </c>
      <c r="D455" t="str">
        <f>"11"</f>
        <v>11</v>
      </c>
      <c r="E455" t="str">
        <f>"102-19-11"</f>
        <v>102-19-11</v>
      </c>
      <c r="F455" t="s">
        <v>18</v>
      </c>
      <c r="G455" t="s">
        <v>19</v>
      </c>
      <c r="H455">
        <v>2</v>
      </c>
      <c r="I455">
        <v>1</v>
      </c>
      <c r="J455">
        <v>1</v>
      </c>
      <c r="K455">
        <v>0</v>
      </c>
      <c r="L455">
        <v>1</v>
      </c>
      <c r="M455">
        <v>0</v>
      </c>
      <c r="N455">
        <v>1</v>
      </c>
      <c r="O455">
        <v>0</v>
      </c>
      <c r="P455">
        <v>1</v>
      </c>
    </row>
    <row r="456" spans="1:16" x14ac:dyDescent="0.25">
      <c r="A456" t="str">
        <f>"452"</f>
        <v>452</v>
      </c>
      <c r="B456" t="str">
        <f t="shared" si="25"/>
        <v>102</v>
      </c>
      <c r="C456" t="str">
        <f t="shared" si="26"/>
        <v>19</v>
      </c>
      <c r="D456" t="str">
        <f>"1"</f>
        <v>1</v>
      </c>
      <c r="E456" t="str">
        <f>"102-19-1"</f>
        <v>102-19-1</v>
      </c>
      <c r="F456" t="s">
        <v>18</v>
      </c>
      <c r="G456" t="s">
        <v>20</v>
      </c>
      <c r="H456">
        <v>1</v>
      </c>
      <c r="K456">
        <v>0</v>
      </c>
      <c r="L456">
        <v>1</v>
      </c>
      <c r="M456">
        <v>0</v>
      </c>
      <c r="N456">
        <v>1</v>
      </c>
    </row>
    <row r="457" spans="1:16" x14ac:dyDescent="0.25">
      <c r="A457" t="str">
        <f>"453"</f>
        <v>453</v>
      </c>
      <c r="B457" t="str">
        <f t="shared" si="25"/>
        <v>102</v>
      </c>
      <c r="C457" t="str">
        <f t="shared" si="26"/>
        <v>19</v>
      </c>
      <c r="D457" t="str">
        <f>"12"</f>
        <v>12</v>
      </c>
      <c r="E457" t="str">
        <f>"102-19-12"</f>
        <v>102-19-12</v>
      </c>
      <c r="F457" t="s">
        <v>18</v>
      </c>
      <c r="G457" t="s">
        <v>19</v>
      </c>
      <c r="H457">
        <v>2</v>
      </c>
      <c r="I457">
        <v>1</v>
      </c>
      <c r="J457">
        <v>1</v>
      </c>
      <c r="K457">
        <v>0</v>
      </c>
      <c r="L457">
        <v>1</v>
      </c>
      <c r="M457">
        <v>0</v>
      </c>
      <c r="N457">
        <v>1</v>
      </c>
      <c r="O457">
        <v>0</v>
      </c>
      <c r="P457">
        <v>1</v>
      </c>
    </row>
    <row r="458" spans="1:16" x14ac:dyDescent="0.25">
      <c r="A458" t="str">
        <f>"454"</f>
        <v>454</v>
      </c>
      <c r="B458" t="str">
        <f t="shared" si="25"/>
        <v>102</v>
      </c>
      <c r="C458" t="str">
        <f t="shared" si="26"/>
        <v>19</v>
      </c>
      <c r="D458" t="str">
        <f>"2"</f>
        <v>2</v>
      </c>
      <c r="E458" t="str">
        <f>"102-19-2"</f>
        <v>102-19-2</v>
      </c>
      <c r="F458" t="s">
        <v>18</v>
      </c>
      <c r="G458" t="s">
        <v>20</v>
      </c>
      <c r="H458">
        <v>1</v>
      </c>
      <c r="K458">
        <v>0</v>
      </c>
      <c r="L458">
        <v>1</v>
      </c>
      <c r="M458">
        <v>0</v>
      </c>
      <c r="N458">
        <v>1</v>
      </c>
    </row>
    <row r="459" spans="1:16" x14ac:dyDescent="0.25">
      <c r="A459" t="str">
        <f>"455"</f>
        <v>455</v>
      </c>
      <c r="B459" t="str">
        <f t="shared" si="25"/>
        <v>102</v>
      </c>
      <c r="C459" t="str">
        <f t="shared" si="26"/>
        <v>19</v>
      </c>
      <c r="D459" t="str">
        <f>"21"</f>
        <v>21</v>
      </c>
      <c r="E459" t="str">
        <f>"102-19-21"</f>
        <v>102-19-21</v>
      </c>
      <c r="F459" t="s">
        <v>18</v>
      </c>
      <c r="G459" t="s">
        <v>20</v>
      </c>
      <c r="H459">
        <v>1</v>
      </c>
      <c r="K459">
        <v>0</v>
      </c>
      <c r="L459">
        <v>1</v>
      </c>
      <c r="M459">
        <v>0</v>
      </c>
      <c r="N459">
        <v>1</v>
      </c>
    </row>
    <row r="460" spans="1:16" x14ac:dyDescent="0.25">
      <c r="A460" t="str">
        <f>"456"</f>
        <v>456</v>
      </c>
      <c r="B460" t="str">
        <f t="shared" si="25"/>
        <v>102</v>
      </c>
      <c r="C460" t="str">
        <f t="shared" si="26"/>
        <v>19</v>
      </c>
      <c r="D460" t="str">
        <f>"13"</f>
        <v>13</v>
      </c>
      <c r="E460" t="str">
        <f>"102-19-13"</f>
        <v>102-19-13</v>
      </c>
      <c r="F460" t="s">
        <v>18</v>
      </c>
      <c r="G460" t="s">
        <v>20</v>
      </c>
      <c r="H460">
        <v>1</v>
      </c>
      <c r="K460">
        <v>0</v>
      </c>
      <c r="L460">
        <v>1</v>
      </c>
      <c r="M460">
        <v>0</v>
      </c>
      <c r="N460">
        <v>1</v>
      </c>
    </row>
    <row r="461" spans="1:16" x14ac:dyDescent="0.25">
      <c r="A461" t="str">
        <f>"457"</f>
        <v>457</v>
      </c>
      <c r="B461" t="str">
        <f t="shared" si="25"/>
        <v>102</v>
      </c>
      <c r="C461" t="str">
        <f t="shared" si="26"/>
        <v>19</v>
      </c>
      <c r="D461" t="str">
        <f>"5"</f>
        <v>5</v>
      </c>
      <c r="E461" t="str">
        <f>"102-19-5"</f>
        <v>102-19-5</v>
      </c>
      <c r="F461" t="s">
        <v>18</v>
      </c>
      <c r="G461" t="s">
        <v>20</v>
      </c>
      <c r="H461">
        <v>1</v>
      </c>
      <c r="K461">
        <v>0</v>
      </c>
      <c r="L461">
        <v>1</v>
      </c>
      <c r="M461">
        <v>0</v>
      </c>
      <c r="N461">
        <v>1</v>
      </c>
    </row>
    <row r="462" spans="1:16" x14ac:dyDescent="0.25">
      <c r="A462" t="str">
        <f>"458"</f>
        <v>458</v>
      </c>
      <c r="B462" t="str">
        <f t="shared" si="25"/>
        <v>102</v>
      </c>
      <c r="C462" t="str">
        <f t="shared" si="26"/>
        <v>19</v>
      </c>
      <c r="D462" t="str">
        <f>"22"</f>
        <v>22</v>
      </c>
      <c r="E462" t="str">
        <f>"102-19-22"</f>
        <v>102-19-22</v>
      </c>
      <c r="F462" t="s">
        <v>18</v>
      </c>
      <c r="G462" t="s">
        <v>20</v>
      </c>
      <c r="H462">
        <v>1</v>
      </c>
      <c r="K462">
        <v>0</v>
      </c>
      <c r="L462">
        <v>1</v>
      </c>
      <c r="M462">
        <v>0</v>
      </c>
      <c r="N462">
        <v>1</v>
      </c>
    </row>
    <row r="463" spans="1:16" x14ac:dyDescent="0.25">
      <c r="A463" t="str">
        <f>"459"</f>
        <v>459</v>
      </c>
      <c r="B463" t="str">
        <f t="shared" si="25"/>
        <v>102</v>
      </c>
      <c r="C463" t="str">
        <f t="shared" si="26"/>
        <v>19</v>
      </c>
      <c r="D463" t="str">
        <f>"14"</f>
        <v>14</v>
      </c>
      <c r="E463" t="str">
        <f>"102-19-14"</f>
        <v>102-19-14</v>
      </c>
      <c r="F463" t="s">
        <v>18</v>
      </c>
      <c r="G463" t="s">
        <v>20</v>
      </c>
      <c r="H463">
        <v>1</v>
      </c>
      <c r="K463">
        <v>0</v>
      </c>
      <c r="L463">
        <v>1</v>
      </c>
      <c r="M463">
        <v>0</v>
      </c>
      <c r="N463">
        <v>1</v>
      </c>
    </row>
    <row r="464" spans="1:16" x14ac:dyDescent="0.25">
      <c r="A464" t="str">
        <f>"460"</f>
        <v>460</v>
      </c>
      <c r="B464" t="str">
        <f t="shared" si="25"/>
        <v>102</v>
      </c>
      <c r="C464" t="str">
        <f t="shared" si="26"/>
        <v>19</v>
      </c>
      <c r="D464" t="str">
        <f>"3"</f>
        <v>3</v>
      </c>
      <c r="E464" t="str">
        <f>"102-19-3"</f>
        <v>102-19-3</v>
      </c>
      <c r="F464" t="s">
        <v>18</v>
      </c>
      <c r="G464" t="s">
        <v>20</v>
      </c>
      <c r="H464">
        <v>1</v>
      </c>
      <c r="K464">
        <v>0</v>
      </c>
      <c r="L464">
        <v>1</v>
      </c>
      <c r="M464">
        <v>0</v>
      </c>
      <c r="N464">
        <v>1</v>
      </c>
    </row>
    <row r="465" spans="1:16" x14ac:dyDescent="0.25">
      <c r="A465" t="str">
        <f>"461"</f>
        <v>461</v>
      </c>
      <c r="B465" t="str">
        <f t="shared" si="25"/>
        <v>102</v>
      </c>
      <c r="C465" t="str">
        <f t="shared" si="26"/>
        <v>19</v>
      </c>
      <c r="D465" t="str">
        <f>"23"</f>
        <v>23</v>
      </c>
      <c r="E465" t="str">
        <f>"102-19-23"</f>
        <v>102-19-23</v>
      </c>
      <c r="F465" t="s">
        <v>18</v>
      </c>
      <c r="G465" t="s">
        <v>20</v>
      </c>
      <c r="H465">
        <v>1</v>
      </c>
      <c r="K465">
        <v>0</v>
      </c>
      <c r="L465">
        <v>1</v>
      </c>
      <c r="M465">
        <v>0</v>
      </c>
      <c r="N465">
        <v>1</v>
      </c>
    </row>
    <row r="466" spans="1:16" x14ac:dyDescent="0.25">
      <c r="A466" t="str">
        <f>"462"</f>
        <v>462</v>
      </c>
      <c r="B466" t="str">
        <f t="shared" si="25"/>
        <v>102</v>
      </c>
      <c r="C466" t="str">
        <f t="shared" si="26"/>
        <v>19</v>
      </c>
      <c r="D466" t="str">
        <f>"15"</f>
        <v>15</v>
      </c>
      <c r="E466" t="str">
        <f>"102-19-15"</f>
        <v>102-19-15</v>
      </c>
      <c r="F466" t="s">
        <v>18</v>
      </c>
      <c r="G466" t="s">
        <v>20</v>
      </c>
      <c r="H466">
        <v>1</v>
      </c>
      <c r="K466">
        <v>1</v>
      </c>
      <c r="L466">
        <v>0</v>
      </c>
      <c r="M466">
        <v>1</v>
      </c>
      <c r="N466">
        <v>0</v>
      </c>
    </row>
    <row r="467" spans="1:16" x14ac:dyDescent="0.25">
      <c r="A467" t="str">
        <f>"463"</f>
        <v>463</v>
      </c>
      <c r="B467" t="str">
        <f t="shared" si="25"/>
        <v>102</v>
      </c>
      <c r="C467" t="str">
        <f t="shared" si="26"/>
        <v>19</v>
      </c>
      <c r="D467" t="str">
        <f>"7"</f>
        <v>7</v>
      </c>
      <c r="E467" t="str">
        <f>"102-19-7"</f>
        <v>102-19-7</v>
      </c>
      <c r="F467" t="s">
        <v>18</v>
      </c>
      <c r="G467" t="s">
        <v>20</v>
      </c>
      <c r="H467">
        <v>1</v>
      </c>
      <c r="K467">
        <v>0</v>
      </c>
      <c r="L467">
        <v>1</v>
      </c>
      <c r="M467">
        <v>0</v>
      </c>
      <c r="N467">
        <v>1</v>
      </c>
    </row>
    <row r="468" spans="1:16" x14ac:dyDescent="0.25">
      <c r="A468" t="str">
        <f>"464"</f>
        <v>464</v>
      </c>
      <c r="B468" t="str">
        <f t="shared" si="25"/>
        <v>102</v>
      </c>
      <c r="C468" t="str">
        <f t="shared" si="26"/>
        <v>19</v>
      </c>
      <c r="D468" t="str">
        <f>"24"</f>
        <v>24</v>
      </c>
      <c r="E468" t="str">
        <f>"102-19-24"</f>
        <v>102-19-24</v>
      </c>
      <c r="F468" t="s">
        <v>18</v>
      </c>
      <c r="G468" t="s">
        <v>19</v>
      </c>
      <c r="H468">
        <v>2</v>
      </c>
      <c r="I468">
        <v>1</v>
      </c>
      <c r="J468">
        <v>1</v>
      </c>
      <c r="K468">
        <v>1</v>
      </c>
      <c r="L468">
        <v>0</v>
      </c>
      <c r="M468">
        <v>1</v>
      </c>
      <c r="N468">
        <v>0</v>
      </c>
      <c r="O468">
        <v>1</v>
      </c>
      <c r="P468">
        <v>0</v>
      </c>
    </row>
    <row r="469" spans="1:16" x14ac:dyDescent="0.25">
      <c r="A469" t="str">
        <f>"465"</f>
        <v>465</v>
      </c>
      <c r="B469" t="str">
        <f t="shared" si="25"/>
        <v>102</v>
      </c>
      <c r="C469" t="str">
        <f t="shared" si="26"/>
        <v>19</v>
      </c>
      <c r="D469" t="str">
        <f>"16"</f>
        <v>16</v>
      </c>
      <c r="E469" t="str">
        <f>"102-19-16"</f>
        <v>102-19-16</v>
      </c>
      <c r="F469" t="s">
        <v>18</v>
      </c>
      <c r="G469" t="s">
        <v>20</v>
      </c>
      <c r="H469">
        <v>1</v>
      </c>
      <c r="K469">
        <v>1</v>
      </c>
      <c r="L469">
        <v>0</v>
      </c>
      <c r="M469">
        <v>1</v>
      </c>
      <c r="N469">
        <v>0</v>
      </c>
    </row>
    <row r="470" spans="1:16" x14ac:dyDescent="0.25">
      <c r="A470" t="str">
        <f>"466"</f>
        <v>466</v>
      </c>
      <c r="B470" t="str">
        <f t="shared" si="25"/>
        <v>102</v>
      </c>
      <c r="C470" t="str">
        <f t="shared" si="26"/>
        <v>19</v>
      </c>
      <c r="D470" t="str">
        <f>"4"</f>
        <v>4</v>
      </c>
      <c r="E470" t="str">
        <f>"102-19-4"</f>
        <v>102-19-4</v>
      </c>
      <c r="F470" t="s">
        <v>18</v>
      </c>
      <c r="G470" t="s">
        <v>20</v>
      </c>
      <c r="H470">
        <v>1</v>
      </c>
      <c r="K470">
        <v>0</v>
      </c>
      <c r="L470">
        <v>1</v>
      </c>
      <c r="M470">
        <v>0</v>
      </c>
      <c r="N470">
        <v>1</v>
      </c>
    </row>
    <row r="471" spans="1:16" x14ac:dyDescent="0.25">
      <c r="A471" t="str">
        <f>"467"</f>
        <v>467</v>
      </c>
      <c r="B471" t="str">
        <f t="shared" si="25"/>
        <v>102</v>
      </c>
      <c r="C471" t="str">
        <f t="shared" si="26"/>
        <v>19</v>
      </c>
      <c r="D471" t="str">
        <f>"25"</f>
        <v>25</v>
      </c>
      <c r="E471" t="str">
        <f>"102-19-25"</f>
        <v>102-19-25</v>
      </c>
      <c r="F471" t="s">
        <v>18</v>
      </c>
      <c r="G471" t="s">
        <v>20</v>
      </c>
      <c r="H471">
        <v>1</v>
      </c>
      <c r="K471">
        <v>1</v>
      </c>
      <c r="L471">
        <v>0</v>
      </c>
      <c r="M471">
        <v>1</v>
      </c>
      <c r="N471">
        <v>0</v>
      </c>
    </row>
    <row r="472" spans="1:16" x14ac:dyDescent="0.25">
      <c r="A472" t="str">
        <f>"468"</f>
        <v>468</v>
      </c>
      <c r="B472" t="str">
        <f t="shared" si="25"/>
        <v>102</v>
      </c>
      <c r="C472" t="str">
        <f t="shared" si="26"/>
        <v>19</v>
      </c>
      <c r="D472" t="str">
        <f>"17"</f>
        <v>17</v>
      </c>
      <c r="E472" t="str">
        <f>"102-19-17"</f>
        <v>102-19-17</v>
      </c>
      <c r="F472" t="s">
        <v>18</v>
      </c>
      <c r="G472" t="s">
        <v>20</v>
      </c>
      <c r="H472">
        <v>1</v>
      </c>
      <c r="K472">
        <v>1</v>
      </c>
      <c r="L472">
        <v>0</v>
      </c>
      <c r="M472">
        <v>1</v>
      </c>
      <c r="N472">
        <v>0</v>
      </c>
    </row>
    <row r="473" spans="1:16" x14ac:dyDescent="0.25">
      <c r="A473" t="str">
        <f>"469"</f>
        <v>469</v>
      </c>
      <c r="B473" t="str">
        <f t="shared" si="25"/>
        <v>102</v>
      </c>
      <c r="C473" t="str">
        <f t="shared" si="26"/>
        <v>19</v>
      </c>
      <c r="D473" t="str">
        <f>"8"</f>
        <v>8</v>
      </c>
      <c r="E473" t="str">
        <f>"102-19-8"</f>
        <v>102-19-8</v>
      </c>
      <c r="F473" t="s">
        <v>18</v>
      </c>
      <c r="G473" t="s">
        <v>20</v>
      </c>
      <c r="H473">
        <v>1</v>
      </c>
      <c r="K473">
        <v>0</v>
      </c>
      <c r="L473">
        <v>1</v>
      </c>
      <c r="M473">
        <v>0</v>
      </c>
      <c r="N473">
        <v>1</v>
      </c>
    </row>
    <row r="474" spans="1:16" x14ac:dyDescent="0.25">
      <c r="A474" t="str">
        <f>"470"</f>
        <v>470</v>
      </c>
      <c r="B474" t="str">
        <f t="shared" si="25"/>
        <v>102</v>
      </c>
      <c r="C474" t="str">
        <f t="shared" si="26"/>
        <v>19</v>
      </c>
      <c r="D474" t="str">
        <f>"18"</f>
        <v>18</v>
      </c>
      <c r="E474" t="str">
        <f>"102-19-18"</f>
        <v>102-19-18</v>
      </c>
      <c r="F474" t="s">
        <v>18</v>
      </c>
      <c r="G474" t="s">
        <v>20</v>
      </c>
      <c r="H474">
        <v>1</v>
      </c>
      <c r="K474">
        <v>1</v>
      </c>
      <c r="L474">
        <v>0</v>
      </c>
      <c r="M474">
        <v>1</v>
      </c>
      <c r="N474">
        <v>0</v>
      </c>
    </row>
    <row r="475" spans="1:16" x14ac:dyDescent="0.25">
      <c r="A475" t="str">
        <f>"471"</f>
        <v>471</v>
      </c>
      <c r="B475" t="str">
        <f t="shared" si="25"/>
        <v>102</v>
      </c>
      <c r="C475" t="str">
        <f t="shared" si="26"/>
        <v>19</v>
      </c>
      <c r="D475" t="str">
        <f>"19"</f>
        <v>19</v>
      </c>
      <c r="E475" t="str">
        <f>"102-19-19"</f>
        <v>102-19-19</v>
      </c>
      <c r="F475" t="s">
        <v>18</v>
      </c>
      <c r="G475" t="s">
        <v>20</v>
      </c>
      <c r="H475">
        <v>1</v>
      </c>
      <c r="K475">
        <v>0</v>
      </c>
      <c r="L475">
        <v>0</v>
      </c>
      <c r="M475">
        <v>1</v>
      </c>
      <c r="N475">
        <v>0</v>
      </c>
    </row>
    <row r="476" spans="1:16" x14ac:dyDescent="0.25">
      <c r="A476" t="str">
        <f>"472"</f>
        <v>472</v>
      </c>
      <c r="B476" t="str">
        <f t="shared" si="25"/>
        <v>102</v>
      </c>
      <c r="C476" t="str">
        <f t="shared" si="26"/>
        <v>19</v>
      </c>
      <c r="D476" t="str">
        <f>"6"</f>
        <v>6</v>
      </c>
      <c r="E476" t="str">
        <f>"102-19-6"</f>
        <v>102-19-6</v>
      </c>
      <c r="F476" t="s">
        <v>18</v>
      </c>
      <c r="G476" t="s">
        <v>20</v>
      </c>
      <c r="H476">
        <v>1</v>
      </c>
      <c r="K476">
        <v>0</v>
      </c>
      <c r="L476">
        <v>1</v>
      </c>
      <c r="M476">
        <v>0</v>
      </c>
      <c r="N476">
        <v>1</v>
      </c>
    </row>
    <row r="477" spans="1:16" x14ac:dyDescent="0.25">
      <c r="A477" t="str">
        <f>"473"</f>
        <v>473</v>
      </c>
      <c r="B477" t="str">
        <f t="shared" si="25"/>
        <v>102</v>
      </c>
      <c r="C477" t="str">
        <f t="shared" si="26"/>
        <v>19</v>
      </c>
      <c r="D477" t="str">
        <f>"20"</f>
        <v>20</v>
      </c>
      <c r="E477" t="str">
        <f>"102-19-20"</f>
        <v>102-19-20</v>
      </c>
      <c r="F477" t="s">
        <v>18</v>
      </c>
      <c r="G477" t="s">
        <v>20</v>
      </c>
      <c r="H477">
        <v>1</v>
      </c>
      <c r="K477">
        <v>0</v>
      </c>
      <c r="L477">
        <v>1</v>
      </c>
      <c r="M477">
        <v>0</v>
      </c>
      <c r="N477">
        <v>1</v>
      </c>
    </row>
    <row r="478" spans="1:16" x14ac:dyDescent="0.25">
      <c r="A478" t="str">
        <f>"474"</f>
        <v>474</v>
      </c>
      <c r="B478" t="str">
        <f t="shared" si="25"/>
        <v>102</v>
      </c>
      <c r="C478" t="str">
        <f t="shared" si="26"/>
        <v>19</v>
      </c>
      <c r="D478" t="str">
        <f>"9"</f>
        <v>9</v>
      </c>
      <c r="E478" t="str">
        <f>"102-19-9"</f>
        <v>102-19-9</v>
      </c>
      <c r="F478" t="s">
        <v>18</v>
      </c>
      <c r="G478" t="s">
        <v>19</v>
      </c>
      <c r="H478">
        <v>2</v>
      </c>
      <c r="I478">
        <v>1</v>
      </c>
      <c r="J478">
        <v>1</v>
      </c>
      <c r="K478">
        <v>0</v>
      </c>
      <c r="L478">
        <v>1</v>
      </c>
      <c r="M478">
        <v>0</v>
      </c>
      <c r="N478">
        <v>1</v>
      </c>
      <c r="O478">
        <v>1</v>
      </c>
      <c r="P478">
        <v>0</v>
      </c>
    </row>
    <row r="479" spans="1:16" x14ac:dyDescent="0.25">
      <c r="A479" t="str">
        <f>"475"</f>
        <v>475</v>
      </c>
      <c r="B479" t="str">
        <f t="shared" si="25"/>
        <v>102</v>
      </c>
      <c r="C479" t="str">
        <f t="shared" si="26"/>
        <v>19</v>
      </c>
      <c r="D479" t="str">
        <f>"10"</f>
        <v>10</v>
      </c>
      <c r="E479" t="str">
        <f>"102-19-10"</f>
        <v>102-19-10</v>
      </c>
      <c r="F479" t="s">
        <v>18</v>
      </c>
      <c r="G479" t="s">
        <v>20</v>
      </c>
      <c r="H479">
        <v>1</v>
      </c>
      <c r="K479">
        <v>0</v>
      </c>
      <c r="L479">
        <v>1</v>
      </c>
      <c r="M479">
        <v>0</v>
      </c>
      <c r="N479">
        <v>1</v>
      </c>
    </row>
    <row r="480" spans="1:16" x14ac:dyDescent="0.25">
      <c r="A480" t="str">
        <f>"476"</f>
        <v>476</v>
      </c>
      <c r="B480" t="str">
        <f t="shared" si="25"/>
        <v>102</v>
      </c>
      <c r="C480" t="str">
        <f t="shared" ref="C480:C504" si="27">"20"</f>
        <v>20</v>
      </c>
      <c r="D480" t="str">
        <f>"25"</f>
        <v>25</v>
      </c>
      <c r="E480" t="str">
        <f>"102-20-25"</f>
        <v>102-20-25</v>
      </c>
      <c r="F480" t="s">
        <v>18</v>
      </c>
      <c r="G480" t="s">
        <v>19</v>
      </c>
      <c r="H480">
        <v>2</v>
      </c>
      <c r="I480">
        <v>0</v>
      </c>
      <c r="J480">
        <v>0</v>
      </c>
      <c r="K480">
        <v>1</v>
      </c>
      <c r="L480">
        <v>0</v>
      </c>
      <c r="M480">
        <v>1</v>
      </c>
      <c r="N480">
        <v>0</v>
      </c>
      <c r="O480">
        <v>1</v>
      </c>
      <c r="P480">
        <v>0</v>
      </c>
    </row>
    <row r="481" spans="1:16" x14ac:dyDescent="0.25">
      <c r="A481" t="str">
        <f>"477"</f>
        <v>477</v>
      </c>
      <c r="B481" t="str">
        <f t="shared" si="25"/>
        <v>102</v>
      </c>
      <c r="C481" t="str">
        <f t="shared" si="27"/>
        <v>20</v>
      </c>
      <c r="D481" t="str">
        <f>"11"</f>
        <v>11</v>
      </c>
      <c r="E481" t="str">
        <f>"102-20-11"</f>
        <v>102-20-11</v>
      </c>
      <c r="F481" t="s">
        <v>18</v>
      </c>
      <c r="G481" t="s">
        <v>19</v>
      </c>
      <c r="H481">
        <v>2</v>
      </c>
      <c r="I481">
        <v>0</v>
      </c>
      <c r="J481">
        <v>0</v>
      </c>
      <c r="K481">
        <v>0</v>
      </c>
      <c r="L481">
        <v>1</v>
      </c>
      <c r="M481">
        <v>0</v>
      </c>
      <c r="N481">
        <v>1</v>
      </c>
      <c r="O481">
        <v>1</v>
      </c>
      <c r="P481">
        <v>0</v>
      </c>
    </row>
    <row r="482" spans="1:16" x14ac:dyDescent="0.25">
      <c r="A482" t="str">
        <f>"478"</f>
        <v>478</v>
      </c>
      <c r="B482" t="str">
        <f t="shared" si="25"/>
        <v>102</v>
      </c>
      <c r="C482" t="str">
        <f t="shared" si="27"/>
        <v>20</v>
      </c>
      <c r="D482" t="str">
        <f>"1"</f>
        <v>1</v>
      </c>
      <c r="E482" t="str">
        <f>"102-20-1"</f>
        <v>102-20-1</v>
      </c>
      <c r="F482" t="s">
        <v>18</v>
      </c>
      <c r="G482" t="s">
        <v>20</v>
      </c>
      <c r="H482">
        <v>1</v>
      </c>
      <c r="K482">
        <v>0</v>
      </c>
      <c r="L482">
        <v>1</v>
      </c>
      <c r="M482">
        <v>0</v>
      </c>
      <c r="N482">
        <v>1</v>
      </c>
    </row>
    <row r="483" spans="1:16" x14ac:dyDescent="0.25">
      <c r="A483" t="str">
        <f>"479"</f>
        <v>479</v>
      </c>
      <c r="B483" t="str">
        <f t="shared" si="25"/>
        <v>102</v>
      </c>
      <c r="C483" t="str">
        <f t="shared" si="27"/>
        <v>20</v>
      </c>
      <c r="D483" t="str">
        <f>"21"</f>
        <v>21</v>
      </c>
      <c r="E483" t="str">
        <f>"102-20-21"</f>
        <v>102-20-21</v>
      </c>
      <c r="F483" t="s">
        <v>18</v>
      </c>
      <c r="G483" t="s">
        <v>20</v>
      </c>
      <c r="H483">
        <v>1</v>
      </c>
      <c r="K483">
        <v>0</v>
      </c>
      <c r="L483">
        <v>1</v>
      </c>
      <c r="M483">
        <v>0</v>
      </c>
      <c r="N483">
        <v>1</v>
      </c>
    </row>
    <row r="484" spans="1:16" x14ac:dyDescent="0.25">
      <c r="A484" t="str">
        <f>"480"</f>
        <v>480</v>
      </c>
      <c r="B484" t="str">
        <f t="shared" si="25"/>
        <v>102</v>
      </c>
      <c r="C484" t="str">
        <f t="shared" si="27"/>
        <v>20</v>
      </c>
      <c r="D484" t="str">
        <f>"12"</f>
        <v>12</v>
      </c>
      <c r="E484" t="str">
        <f>"102-20-12"</f>
        <v>102-20-12</v>
      </c>
      <c r="F484" t="s">
        <v>18</v>
      </c>
      <c r="G484" t="s">
        <v>20</v>
      </c>
      <c r="H484">
        <v>1</v>
      </c>
      <c r="K484">
        <v>0</v>
      </c>
      <c r="L484">
        <v>1</v>
      </c>
      <c r="M484">
        <v>0</v>
      </c>
      <c r="N484">
        <v>1</v>
      </c>
    </row>
    <row r="485" spans="1:16" x14ac:dyDescent="0.25">
      <c r="A485" t="str">
        <f>"481"</f>
        <v>481</v>
      </c>
      <c r="B485" t="str">
        <f t="shared" si="25"/>
        <v>102</v>
      </c>
      <c r="C485" t="str">
        <f t="shared" si="27"/>
        <v>20</v>
      </c>
      <c r="D485" t="str">
        <f>"2"</f>
        <v>2</v>
      </c>
      <c r="E485" t="str">
        <f>"102-20-2"</f>
        <v>102-20-2</v>
      </c>
      <c r="F485" t="s">
        <v>18</v>
      </c>
      <c r="G485" t="s">
        <v>20</v>
      </c>
      <c r="H485">
        <v>1</v>
      </c>
      <c r="K485">
        <v>0</v>
      </c>
      <c r="L485">
        <v>0</v>
      </c>
      <c r="M485">
        <v>0</v>
      </c>
      <c r="N485">
        <v>1</v>
      </c>
    </row>
    <row r="486" spans="1:16" x14ac:dyDescent="0.25">
      <c r="A486" t="str">
        <f>"482"</f>
        <v>482</v>
      </c>
      <c r="B486" t="str">
        <f t="shared" si="25"/>
        <v>102</v>
      </c>
      <c r="C486" t="str">
        <f t="shared" si="27"/>
        <v>20</v>
      </c>
      <c r="D486" t="str">
        <f>"22"</f>
        <v>22</v>
      </c>
      <c r="E486" t="str">
        <f>"102-20-22"</f>
        <v>102-20-22</v>
      </c>
      <c r="F486" t="s">
        <v>18</v>
      </c>
      <c r="G486" t="s">
        <v>20</v>
      </c>
      <c r="H486">
        <v>1</v>
      </c>
      <c r="K486">
        <v>1</v>
      </c>
      <c r="L486">
        <v>0</v>
      </c>
      <c r="M486">
        <v>1</v>
      </c>
      <c r="N486">
        <v>0</v>
      </c>
    </row>
    <row r="487" spans="1:16" x14ac:dyDescent="0.25">
      <c r="A487" t="str">
        <f>"483"</f>
        <v>483</v>
      </c>
      <c r="B487" t="str">
        <f t="shared" si="25"/>
        <v>102</v>
      </c>
      <c r="C487" t="str">
        <f t="shared" si="27"/>
        <v>20</v>
      </c>
      <c r="D487" t="str">
        <f>"13"</f>
        <v>13</v>
      </c>
      <c r="E487" t="str">
        <f>"102-20-13"</f>
        <v>102-20-13</v>
      </c>
      <c r="F487" t="s">
        <v>18</v>
      </c>
      <c r="G487" t="s">
        <v>20</v>
      </c>
      <c r="H487">
        <v>1</v>
      </c>
      <c r="K487">
        <v>0</v>
      </c>
      <c r="L487">
        <v>1</v>
      </c>
      <c r="M487">
        <v>0</v>
      </c>
      <c r="N487">
        <v>1</v>
      </c>
    </row>
    <row r="488" spans="1:16" x14ac:dyDescent="0.25">
      <c r="A488" t="str">
        <f>"484"</f>
        <v>484</v>
      </c>
      <c r="B488" t="str">
        <f t="shared" si="25"/>
        <v>102</v>
      </c>
      <c r="C488" t="str">
        <f t="shared" si="27"/>
        <v>20</v>
      </c>
      <c r="D488" t="str">
        <f>"24"</f>
        <v>24</v>
      </c>
      <c r="E488" t="str">
        <f>"102-20-24"</f>
        <v>102-20-24</v>
      </c>
      <c r="F488" t="s">
        <v>18</v>
      </c>
      <c r="G488" t="s">
        <v>20</v>
      </c>
      <c r="H488">
        <v>1</v>
      </c>
      <c r="K488">
        <v>1</v>
      </c>
      <c r="L488">
        <v>0</v>
      </c>
      <c r="M488">
        <v>1</v>
      </c>
      <c r="N488">
        <v>0</v>
      </c>
    </row>
    <row r="489" spans="1:16" x14ac:dyDescent="0.25">
      <c r="A489" t="str">
        <f>"485"</f>
        <v>485</v>
      </c>
      <c r="B489" t="str">
        <f t="shared" si="25"/>
        <v>102</v>
      </c>
      <c r="C489" t="str">
        <f t="shared" si="27"/>
        <v>20</v>
      </c>
      <c r="D489" t="str">
        <f>"14"</f>
        <v>14</v>
      </c>
      <c r="E489" t="str">
        <f>"102-20-14"</f>
        <v>102-20-14</v>
      </c>
      <c r="F489" t="s">
        <v>18</v>
      </c>
      <c r="G489" t="s">
        <v>20</v>
      </c>
      <c r="H489">
        <v>1</v>
      </c>
      <c r="K489">
        <v>0</v>
      </c>
      <c r="L489">
        <v>1</v>
      </c>
      <c r="M489">
        <v>0</v>
      </c>
      <c r="N489">
        <v>1</v>
      </c>
    </row>
    <row r="490" spans="1:16" x14ac:dyDescent="0.25">
      <c r="A490" t="str">
        <f>"486"</f>
        <v>486</v>
      </c>
      <c r="B490" t="str">
        <f t="shared" si="25"/>
        <v>102</v>
      </c>
      <c r="C490" t="str">
        <f t="shared" si="27"/>
        <v>20</v>
      </c>
      <c r="D490" t="str">
        <f>"6"</f>
        <v>6</v>
      </c>
      <c r="E490" t="str">
        <f>"102-20-6"</f>
        <v>102-20-6</v>
      </c>
      <c r="F490" t="s">
        <v>18</v>
      </c>
      <c r="G490" t="s">
        <v>19</v>
      </c>
      <c r="H490">
        <v>2</v>
      </c>
      <c r="I490">
        <v>0</v>
      </c>
      <c r="J490">
        <v>1</v>
      </c>
      <c r="K490">
        <v>1</v>
      </c>
      <c r="L490">
        <v>0</v>
      </c>
      <c r="M490">
        <v>1</v>
      </c>
      <c r="N490">
        <v>0</v>
      </c>
      <c r="O490">
        <v>0</v>
      </c>
      <c r="P490">
        <v>1</v>
      </c>
    </row>
    <row r="491" spans="1:16" x14ac:dyDescent="0.25">
      <c r="A491" t="str">
        <f>"487"</f>
        <v>487</v>
      </c>
      <c r="B491" t="str">
        <f t="shared" si="25"/>
        <v>102</v>
      </c>
      <c r="C491" t="str">
        <f t="shared" si="27"/>
        <v>20</v>
      </c>
      <c r="D491" t="str">
        <f>"23"</f>
        <v>23</v>
      </c>
      <c r="E491" t="str">
        <f>"102-20-23"</f>
        <v>102-20-23</v>
      </c>
      <c r="F491" t="s">
        <v>18</v>
      </c>
      <c r="G491" t="s">
        <v>20</v>
      </c>
      <c r="H491">
        <v>1</v>
      </c>
      <c r="K491">
        <v>0</v>
      </c>
      <c r="L491">
        <v>1</v>
      </c>
      <c r="M491">
        <v>0</v>
      </c>
      <c r="N491">
        <v>1</v>
      </c>
    </row>
    <row r="492" spans="1:16" x14ac:dyDescent="0.25">
      <c r="A492" t="str">
        <f>"488"</f>
        <v>488</v>
      </c>
      <c r="B492" t="str">
        <f t="shared" si="25"/>
        <v>102</v>
      </c>
      <c r="C492" t="str">
        <f t="shared" si="27"/>
        <v>20</v>
      </c>
      <c r="D492" t="str">
        <f>"15"</f>
        <v>15</v>
      </c>
      <c r="E492" t="str">
        <f>"102-20-15"</f>
        <v>102-20-15</v>
      </c>
      <c r="F492" t="s">
        <v>18</v>
      </c>
      <c r="G492" t="s">
        <v>20</v>
      </c>
      <c r="H492">
        <v>1</v>
      </c>
      <c r="K492">
        <v>0</v>
      </c>
      <c r="L492">
        <v>1</v>
      </c>
      <c r="M492">
        <v>0</v>
      </c>
      <c r="N492">
        <v>1</v>
      </c>
    </row>
    <row r="493" spans="1:16" x14ac:dyDescent="0.25">
      <c r="A493" t="str">
        <f>"489"</f>
        <v>489</v>
      </c>
      <c r="B493" t="str">
        <f t="shared" si="25"/>
        <v>102</v>
      </c>
      <c r="C493" t="str">
        <f t="shared" si="27"/>
        <v>20</v>
      </c>
      <c r="D493" t="str">
        <f>"5"</f>
        <v>5</v>
      </c>
      <c r="E493" t="str">
        <f>"102-20-5"</f>
        <v>102-20-5</v>
      </c>
      <c r="F493" t="s">
        <v>18</v>
      </c>
      <c r="G493" t="s">
        <v>19</v>
      </c>
      <c r="H493">
        <v>2</v>
      </c>
      <c r="I493">
        <v>1</v>
      </c>
      <c r="J493">
        <v>0</v>
      </c>
      <c r="K493">
        <v>1</v>
      </c>
      <c r="L493">
        <v>0</v>
      </c>
      <c r="M493">
        <v>1</v>
      </c>
      <c r="N493">
        <v>0</v>
      </c>
      <c r="O493">
        <v>0</v>
      </c>
      <c r="P493">
        <v>1</v>
      </c>
    </row>
    <row r="494" spans="1:16" x14ac:dyDescent="0.25">
      <c r="A494" t="str">
        <f>"490"</f>
        <v>490</v>
      </c>
      <c r="B494" t="str">
        <f t="shared" si="25"/>
        <v>102</v>
      </c>
      <c r="C494" t="str">
        <f t="shared" si="27"/>
        <v>20</v>
      </c>
      <c r="D494" t="str">
        <f>"16"</f>
        <v>16</v>
      </c>
      <c r="E494" t="str">
        <f>"102-20-16"</f>
        <v>102-20-16</v>
      </c>
      <c r="F494" t="s">
        <v>18</v>
      </c>
      <c r="G494" t="s">
        <v>20</v>
      </c>
      <c r="H494">
        <v>1</v>
      </c>
      <c r="K494">
        <v>0</v>
      </c>
      <c r="L494">
        <v>1</v>
      </c>
      <c r="M494">
        <v>0</v>
      </c>
      <c r="N494">
        <v>1</v>
      </c>
    </row>
    <row r="495" spans="1:16" x14ac:dyDescent="0.25">
      <c r="A495" t="str">
        <f>"491"</f>
        <v>491</v>
      </c>
      <c r="B495" t="str">
        <f t="shared" si="25"/>
        <v>102</v>
      </c>
      <c r="C495" t="str">
        <f t="shared" si="27"/>
        <v>20</v>
      </c>
      <c r="D495" t="str">
        <f>"4"</f>
        <v>4</v>
      </c>
      <c r="E495" t="str">
        <f>"102-20-4"</f>
        <v>102-20-4</v>
      </c>
      <c r="F495" t="s">
        <v>18</v>
      </c>
      <c r="G495" t="s">
        <v>19</v>
      </c>
      <c r="H495">
        <v>2</v>
      </c>
      <c r="I495">
        <v>0</v>
      </c>
      <c r="J495">
        <v>1</v>
      </c>
      <c r="K495">
        <v>1</v>
      </c>
      <c r="L495">
        <v>0</v>
      </c>
      <c r="M495">
        <v>1</v>
      </c>
      <c r="N495">
        <v>0</v>
      </c>
      <c r="O495">
        <v>1</v>
      </c>
      <c r="P495">
        <v>0</v>
      </c>
    </row>
    <row r="496" spans="1:16" x14ac:dyDescent="0.25">
      <c r="A496" t="str">
        <f>"492"</f>
        <v>492</v>
      </c>
      <c r="B496" t="str">
        <f t="shared" si="25"/>
        <v>102</v>
      </c>
      <c r="C496" t="str">
        <f t="shared" si="27"/>
        <v>20</v>
      </c>
      <c r="D496" t="str">
        <f>"17"</f>
        <v>17</v>
      </c>
      <c r="E496" t="str">
        <f>"102-20-17"</f>
        <v>102-20-17</v>
      </c>
      <c r="F496" t="s">
        <v>18</v>
      </c>
      <c r="G496" t="s">
        <v>20</v>
      </c>
      <c r="H496">
        <v>1</v>
      </c>
      <c r="K496">
        <v>0</v>
      </c>
      <c r="L496">
        <v>1</v>
      </c>
      <c r="M496">
        <v>0</v>
      </c>
      <c r="N496">
        <v>1</v>
      </c>
    </row>
    <row r="497" spans="1:16" x14ac:dyDescent="0.25">
      <c r="A497" t="str">
        <f>"493"</f>
        <v>493</v>
      </c>
      <c r="B497" t="str">
        <f t="shared" si="25"/>
        <v>102</v>
      </c>
      <c r="C497" t="str">
        <f t="shared" si="27"/>
        <v>20</v>
      </c>
      <c r="D497" t="str">
        <f>"9"</f>
        <v>9</v>
      </c>
      <c r="E497" t="str">
        <f>"102-20-9"</f>
        <v>102-20-9</v>
      </c>
      <c r="F497" t="s">
        <v>18</v>
      </c>
      <c r="G497" t="s">
        <v>19</v>
      </c>
      <c r="H497">
        <v>2</v>
      </c>
      <c r="I497">
        <v>0</v>
      </c>
      <c r="J497">
        <v>0</v>
      </c>
      <c r="K497">
        <v>0</v>
      </c>
      <c r="L497">
        <v>1</v>
      </c>
      <c r="M497">
        <v>0</v>
      </c>
      <c r="N497">
        <v>1</v>
      </c>
      <c r="O497">
        <v>1</v>
      </c>
      <c r="P497">
        <v>0</v>
      </c>
    </row>
    <row r="498" spans="1:16" x14ac:dyDescent="0.25">
      <c r="A498" t="str">
        <f>"494"</f>
        <v>494</v>
      </c>
      <c r="B498" t="str">
        <f t="shared" si="25"/>
        <v>102</v>
      </c>
      <c r="C498" t="str">
        <f t="shared" si="27"/>
        <v>20</v>
      </c>
      <c r="D498" t="str">
        <f>"18"</f>
        <v>18</v>
      </c>
      <c r="E498" t="str">
        <f>"102-20-18"</f>
        <v>102-20-18</v>
      </c>
      <c r="F498" t="s">
        <v>18</v>
      </c>
      <c r="G498" t="s">
        <v>20</v>
      </c>
      <c r="H498">
        <v>1</v>
      </c>
      <c r="K498">
        <v>1</v>
      </c>
      <c r="L498">
        <v>0</v>
      </c>
      <c r="M498">
        <v>1</v>
      </c>
      <c r="N498">
        <v>0</v>
      </c>
    </row>
    <row r="499" spans="1:16" x14ac:dyDescent="0.25">
      <c r="A499" t="str">
        <f>"495"</f>
        <v>495</v>
      </c>
      <c r="B499" t="str">
        <f t="shared" si="25"/>
        <v>102</v>
      </c>
      <c r="C499" t="str">
        <f t="shared" si="27"/>
        <v>20</v>
      </c>
      <c r="D499" t="str">
        <f>"10"</f>
        <v>10</v>
      </c>
      <c r="E499" t="str">
        <f>"102-20-10"</f>
        <v>102-20-10</v>
      </c>
      <c r="F499" t="s">
        <v>18</v>
      </c>
      <c r="G499" t="s">
        <v>19</v>
      </c>
      <c r="H499">
        <v>2</v>
      </c>
      <c r="I499">
        <v>1</v>
      </c>
      <c r="J499">
        <v>1</v>
      </c>
      <c r="K499">
        <v>1</v>
      </c>
      <c r="L499">
        <v>0</v>
      </c>
      <c r="M499">
        <v>0</v>
      </c>
      <c r="N499">
        <v>1</v>
      </c>
      <c r="O499">
        <v>0</v>
      </c>
      <c r="P499">
        <v>1</v>
      </c>
    </row>
    <row r="500" spans="1:16" x14ac:dyDescent="0.25">
      <c r="A500" t="str">
        <f>"496"</f>
        <v>496</v>
      </c>
      <c r="B500" t="str">
        <f t="shared" si="25"/>
        <v>102</v>
      </c>
      <c r="C500" t="str">
        <f t="shared" si="27"/>
        <v>20</v>
      </c>
      <c r="D500" t="str">
        <f>"19"</f>
        <v>19</v>
      </c>
      <c r="E500" t="str">
        <f>"102-20-19"</f>
        <v>102-20-19</v>
      </c>
      <c r="F500" t="s">
        <v>18</v>
      </c>
      <c r="G500" t="s">
        <v>20</v>
      </c>
      <c r="H500">
        <v>1</v>
      </c>
      <c r="K500">
        <v>1</v>
      </c>
      <c r="L500">
        <v>0</v>
      </c>
      <c r="M500">
        <v>1</v>
      </c>
      <c r="N500">
        <v>0</v>
      </c>
    </row>
    <row r="501" spans="1:16" x14ac:dyDescent="0.25">
      <c r="A501" t="str">
        <f>"497"</f>
        <v>497</v>
      </c>
      <c r="B501" t="str">
        <f t="shared" si="25"/>
        <v>102</v>
      </c>
      <c r="C501" t="str">
        <f t="shared" si="27"/>
        <v>20</v>
      </c>
      <c r="D501" t="str">
        <f>"7"</f>
        <v>7</v>
      </c>
      <c r="E501" t="str">
        <f>"102-20-7"</f>
        <v>102-20-7</v>
      </c>
      <c r="F501" t="s">
        <v>18</v>
      </c>
      <c r="G501" t="s">
        <v>19</v>
      </c>
      <c r="H501">
        <v>2</v>
      </c>
      <c r="I501">
        <v>1</v>
      </c>
      <c r="J501">
        <v>1</v>
      </c>
      <c r="K501">
        <v>0</v>
      </c>
      <c r="L501">
        <v>1</v>
      </c>
      <c r="M501">
        <v>0</v>
      </c>
      <c r="N501">
        <v>1</v>
      </c>
      <c r="O501">
        <v>1</v>
      </c>
      <c r="P501">
        <v>0</v>
      </c>
    </row>
    <row r="502" spans="1:16" x14ac:dyDescent="0.25">
      <c r="A502" t="str">
        <f>"498"</f>
        <v>498</v>
      </c>
      <c r="B502" t="str">
        <f t="shared" si="25"/>
        <v>102</v>
      </c>
      <c r="C502" t="str">
        <f t="shared" si="27"/>
        <v>20</v>
      </c>
      <c r="D502" t="str">
        <f>"20"</f>
        <v>20</v>
      </c>
      <c r="E502" t="str">
        <f>"102-20-20"</f>
        <v>102-20-20</v>
      </c>
      <c r="F502" t="s">
        <v>18</v>
      </c>
      <c r="G502" t="s">
        <v>20</v>
      </c>
      <c r="H502">
        <v>1</v>
      </c>
      <c r="K502">
        <v>0</v>
      </c>
      <c r="L502">
        <v>1</v>
      </c>
      <c r="M502">
        <v>0</v>
      </c>
      <c r="N502">
        <v>1</v>
      </c>
    </row>
    <row r="503" spans="1:16" x14ac:dyDescent="0.25">
      <c r="A503" t="str">
        <f>"499"</f>
        <v>499</v>
      </c>
      <c r="B503" t="str">
        <f t="shared" si="25"/>
        <v>102</v>
      </c>
      <c r="C503" t="str">
        <f t="shared" si="27"/>
        <v>20</v>
      </c>
      <c r="D503" t="str">
        <f>"8"</f>
        <v>8</v>
      </c>
      <c r="E503" t="str">
        <f>"102-20-8"</f>
        <v>102-20-8</v>
      </c>
      <c r="F503" t="s">
        <v>18</v>
      </c>
      <c r="G503" t="s">
        <v>19</v>
      </c>
      <c r="H503">
        <v>2</v>
      </c>
      <c r="I503">
        <v>1</v>
      </c>
      <c r="J503">
        <v>1</v>
      </c>
      <c r="K503">
        <v>0</v>
      </c>
      <c r="L503">
        <v>1</v>
      </c>
      <c r="M503">
        <v>0</v>
      </c>
      <c r="N503">
        <v>1</v>
      </c>
      <c r="O503">
        <v>1</v>
      </c>
      <c r="P503">
        <v>0</v>
      </c>
    </row>
    <row r="504" spans="1:16" x14ac:dyDescent="0.25">
      <c r="A504" t="str">
        <f>"500"</f>
        <v>500</v>
      </c>
      <c r="B504" t="str">
        <f t="shared" si="25"/>
        <v>102</v>
      </c>
      <c r="C504" t="str">
        <f t="shared" si="27"/>
        <v>20</v>
      </c>
      <c r="D504" t="str">
        <f>"3"</f>
        <v>3</v>
      </c>
      <c r="E504" t="str">
        <f>"102-20-3"</f>
        <v>102-20-3</v>
      </c>
      <c r="F504" t="s">
        <v>18</v>
      </c>
      <c r="G504" t="s">
        <v>20</v>
      </c>
      <c r="H504">
        <v>1</v>
      </c>
      <c r="K504">
        <v>1</v>
      </c>
      <c r="L504">
        <v>0</v>
      </c>
      <c r="M504">
        <v>0</v>
      </c>
      <c r="N504">
        <v>1</v>
      </c>
    </row>
    <row r="505" spans="1:16" x14ac:dyDescent="0.25">
      <c r="A505" t="str">
        <f>"501"</f>
        <v>501</v>
      </c>
      <c r="B505" t="str">
        <f t="shared" si="25"/>
        <v>102</v>
      </c>
      <c r="C505" t="str">
        <f t="shared" ref="C505:C529" si="28">"21"</f>
        <v>21</v>
      </c>
      <c r="D505" t="str">
        <f>"23"</f>
        <v>23</v>
      </c>
      <c r="E505" t="str">
        <f>"102-21-23"</f>
        <v>102-21-23</v>
      </c>
      <c r="F505" t="s">
        <v>18</v>
      </c>
      <c r="G505" t="s">
        <v>20</v>
      </c>
      <c r="H505">
        <v>1</v>
      </c>
      <c r="K505">
        <v>1</v>
      </c>
      <c r="L505">
        <v>0</v>
      </c>
      <c r="M505">
        <v>0</v>
      </c>
      <c r="N505">
        <v>0</v>
      </c>
    </row>
    <row r="506" spans="1:16" x14ac:dyDescent="0.25">
      <c r="A506" t="str">
        <f>"502"</f>
        <v>502</v>
      </c>
      <c r="B506" t="str">
        <f t="shared" si="25"/>
        <v>102</v>
      </c>
      <c r="C506" t="str">
        <f t="shared" si="28"/>
        <v>21</v>
      </c>
      <c r="D506" t="str">
        <f>"11"</f>
        <v>11</v>
      </c>
      <c r="E506" t="str">
        <f>"102-21-11"</f>
        <v>102-21-11</v>
      </c>
      <c r="F506" t="s">
        <v>18</v>
      </c>
      <c r="G506" t="s">
        <v>20</v>
      </c>
      <c r="H506">
        <v>1</v>
      </c>
      <c r="K506">
        <v>0</v>
      </c>
      <c r="L506">
        <v>1</v>
      </c>
      <c r="M506">
        <v>0</v>
      </c>
      <c r="N506">
        <v>1</v>
      </c>
    </row>
    <row r="507" spans="1:16" x14ac:dyDescent="0.25">
      <c r="A507" t="str">
        <f>"503"</f>
        <v>503</v>
      </c>
      <c r="B507" t="str">
        <f t="shared" si="25"/>
        <v>102</v>
      </c>
      <c r="C507" t="str">
        <f t="shared" si="28"/>
        <v>21</v>
      </c>
      <c r="D507" t="str">
        <f>"4"</f>
        <v>4</v>
      </c>
      <c r="E507" t="str">
        <f>"102-21-4"</f>
        <v>102-21-4</v>
      </c>
      <c r="F507" t="s">
        <v>18</v>
      </c>
      <c r="G507" t="s">
        <v>20</v>
      </c>
      <c r="H507">
        <v>1</v>
      </c>
      <c r="K507">
        <v>1</v>
      </c>
      <c r="L507">
        <v>0</v>
      </c>
      <c r="M507">
        <v>0</v>
      </c>
      <c r="N507">
        <v>1</v>
      </c>
    </row>
    <row r="508" spans="1:16" x14ac:dyDescent="0.25">
      <c r="A508" t="str">
        <f>"504"</f>
        <v>504</v>
      </c>
      <c r="B508" t="str">
        <f t="shared" si="25"/>
        <v>102</v>
      </c>
      <c r="C508" t="str">
        <f t="shared" si="28"/>
        <v>21</v>
      </c>
      <c r="D508" t="str">
        <f>"24"</f>
        <v>24</v>
      </c>
      <c r="E508" t="str">
        <f>"102-21-24"</f>
        <v>102-21-24</v>
      </c>
      <c r="F508" t="s">
        <v>18</v>
      </c>
      <c r="G508" t="s">
        <v>20</v>
      </c>
      <c r="H508">
        <v>1</v>
      </c>
      <c r="K508">
        <v>0</v>
      </c>
      <c r="L508">
        <v>1</v>
      </c>
      <c r="M508">
        <v>0</v>
      </c>
      <c r="N508">
        <v>1</v>
      </c>
    </row>
    <row r="509" spans="1:16" x14ac:dyDescent="0.25">
      <c r="A509" t="str">
        <f>"505"</f>
        <v>505</v>
      </c>
      <c r="B509" t="str">
        <f t="shared" si="25"/>
        <v>102</v>
      </c>
      <c r="C509" t="str">
        <f t="shared" si="28"/>
        <v>21</v>
      </c>
      <c r="D509" t="str">
        <f>"13"</f>
        <v>13</v>
      </c>
      <c r="E509" t="str">
        <f>"102-21-13"</f>
        <v>102-21-13</v>
      </c>
      <c r="F509" t="s">
        <v>18</v>
      </c>
      <c r="G509" t="s">
        <v>20</v>
      </c>
      <c r="H509">
        <v>1</v>
      </c>
      <c r="K509">
        <v>0</v>
      </c>
      <c r="L509">
        <v>1</v>
      </c>
      <c r="M509">
        <v>0</v>
      </c>
      <c r="N509">
        <v>1</v>
      </c>
    </row>
    <row r="510" spans="1:16" x14ac:dyDescent="0.25">
      <c r="A510" t="str">
        <f>"506"</f>
        <v>506</v>
      </c>
      <c r="B510" t="str">
        <f t="shared" si="25"/>
        <v>102</v>
      </c>
      <c r="C510" t="str">
        <f t="shared" si="28"/>
        <v>21</v>
      </c>
      <c r="D510" t="str">
        <f>"3"</f>
        <v>3</v>
      </c>
      <c r="E510" t="str">
        <f>"102-21-3"</f>
        <v>102-21-3</v>
      </c>
      <c r="F510" t="s">
        <v>18</v>
      </c>
      <c r="G510" t="s">
        <v>20</v>
      </c>
      <c r="H510">
        <v>1</v>
      </c>
      <c r="K510">
        <v>1</v>
      </c>
      <c r="L510">
        <v>0</v>
      </c>
      <c r="M510">
        <v>0</v>
      </c>
      <c r="N510">
        <v>1</v>
      </c>
    </row>
    <row r="511" spans="1:16" x14ac:dyDescent="0.25">
      <c r="A511" t="str">
        <f>"507"</f>
        <v>507</v>
      </c>
      <c r="B511" t="str">
        <f t="shared" si="25"/>
        <v>102</v>
      </c>
      <c r="C511" t="str">
        <f t="shared" si="28"/>
        <v>21</v>
      </c>
      <c r="D511" t="str">
        <f>"12"</f>
        <v>12</v>
      </c>
      <c r="E511" t="str">
        <f>"102-21-12"</f>
        <v>102-21-12</v>
      </c>
      <c r="F511" t="s">
        <v>18</v>
      </c>
      <c r="G511" t="s">
        <v>20</v>
      </c>
      <c r="H511">
        <v>1</v>
      </c>
      <c r="K511">
        <v>0</v>
      </c>
      <c r="L511">
        <v>1</v>
      </c>
      <c r="M511">
        <v>0</v>
      </c>
      <c r="N511">
        <v>1</v>
      </c>
    </row>
    <row r="512" spans="1:16" x14ac:dyDescent="0.25">
      <c r="A512" t="str">
        <f>"508"</f>
        <v>508</v>
      </c>
      <c r="B512" t="str">
        <f t="shared" si="25"/>
        <v>102</v>
      </c>
      <c r="C512" t="str">
        <f t="shared" si="28"/>
        <v>21</v>
      </c>
      <c r="D512" t="str">
        <f>"8"</f>
        <v>8</v>
      </c>
      <c r="E512" t="str">
        <f>"102-21-8"</f>
        <v>102-21-8</v>
      </c>
      <c r="F512" t="s">
        <v>18</v>
      </c>
      <c r="G512" t="s">
        <v>20</v>
      </c>
      <c r="H512">
        <v>1</v>
      </c>
      <c r="K512">
        <v>0</v>
      </c>
      <c r="L512">
        <v>1</v>
      </c>
      <c r="M512">
        <v>0</v>
      </c>
      <c r="N512">
        <v>1</v>
      </c>
    </row>
    <row r="513" spans="1:16" x14ac:dyDescent="0.25">
      <c r="A513" t="str">
        <f>"509"</f>
        <v>509</v>
      </c>
      <c r="B513" t="str">
        <f t="shared" si="25"/>
        <v>102</v>
      </c>
      <c r="C513" t="str">
        <f t="shared" si="28"/>
        <v>21</v>
      </c>
      <c r="D513" t="str">
        <f>"25"</f>
        <v>25</v>
      </c>
      <c r="E513" t="str">
        <f>"102-21-25"</f>
        <v>102-21-25</v>
      </c>
      <c r="F513" t="s">
        <v>18</v>
      </c>
      <c r="G513" t="s">
        <v>20</v>
      </c>
      <c r="H513">
        <v>1</v>
      </c>
      <c r="K513">
        <v>0</v>
      </c>
      <c r="L513">
        <v>1</v>
      </c>
      <c r="M513">
        <v>0</v>
      </c>
      <c r="N513">
        <v>1</v>
      </c>
    </row>
    <row r="514" spans="1:16" x14ac:dyDescent="0.25">
      <c r="A514" t="str">
        <f>"510"</f>
        <v>510</v>
      </c>
      <c r="B514" t="str">
        <f t="shared" si="25"/>
        <v>102</v>
      </c>
      <c r="C514" t="str">
        <f t="shared" si="28"/>
        <v>21</v>
      </c>
      <c r="D514" t="str">
        <f>"14"</f>
        <v>14</v>
      </c>
      <c r="E514" t="str">
        <f>"102-21-14"</f>
        <v>102-21-14</v>
      </c>
      <c r="F514" t="s">
        <v>18</v>
      </c>
      <c r="G514" t="s">
        <v>20</v>
      </c>
      <c r="H514">
        <v>1</v>
      </c>
      <c r="K514">
        <v>0</v>
      </c>
      <c r="L514">
        <v>1</v>
      </c>
      <c r="M514">
        <v>0</v>
      </c>
      <c r="N514">
        <v>1</v>
      </c>
    </row>
    <row r="515" spans="1:16" x14ac:dyDescent="0.25">
      <c r="A515" t="str">
        <f>"511"</f>
        <v>511</v>
      </c>
      <c r="B515" t="str">
        <f t="shared" si="25"/>
        <v>102</v>
      </c>
      <c r="C515" t="str">
        <f t="shared" si="28"/>
        <v>21</v>
      </c>
      <c r="D515" t="str">
        <f>"6"</f>
        <v>6</v>
      </c>
      <c r="E515" t="str">
        <f>"102-21-6"</f>
        <v>102-21-6</v>
      </c>
      <c r="F515" t="s">
        <v>18</v>
      </c>
      <c r="G515" t="s">
        <v>20</v>
      </c>
      <c r="H515">
        <v>1</v>
      </c>
      <c r="K515">
        <v>0</v>
      </c>
      <c r="L515">
        <v>1</v>
      </c>
      <c r="M515">
        <v>0</v>
      </c>
      <c r="N515">
        <v>1</v>
      </c>
    </row>
    <row r="516" spans="1:16" x14ac:dyDescent="0.25">
      <c r="A516" t="str">
        <f>"512"</f>
        <v>512</v>
      </c>
      <c r="B516" t="str">
        <f t="shared" si="25"/>
        <v>102</v>
      </c>
      <c r="C516" t="str">
        <f t="shared" si="28"/>
        <v>21</v>
      </c>
      <c r="D516" t="str">
        <f>"15"</f>
        <v>15</v>
      </c>
      <c r="E516" t="str">
        <f>"102-21-15"</f>
        <v>102-21-15</v>
      </c>
      <c r="F516" t="s">
        <v>18</v>
      </c>
      <c r="G516" t="s">
        <v>20</v>
      </c>
      <c r="H516">
        <v>1</v>
      </c>
      <c r="K516">
        <v>0</v>
      </c>
      <c r="L516">
        <v>1</v>
      </c>
      <c r="M516">
        <v>0</v>
      </c>
      <c r="N516">
        <v>1</v>
      </c>
    </row>
    <row r="517" spans="1:16" x14ac:dyDescent="0.25">
      <c r="A517" t="str">
        <f>"513"</f>
        <v>513</v>
      </c>
      <c r="B517" t="str">
        <f t="shared" ref="B517:B580" si="29">"102"</f>
        <v>102</v>
      </c>
      <c r="C517" t="str">
        <f t="shared" si="28"/>
        <v>21</v>
      </c>
      <c r="D517" t="str">
        <f>"1"</f>
        <v>1</v>
      </c>
      <c r="E517" t="str">
        <f>"102-21-1"</f>
        <v>102-21-1</v>
      </c>
      <c r="F517" t="s">
        <v>18</v>
      </c>
      <c r="G517" t="s">
        <v>20</v>
      </c>
      <c r="H517">
        <v>1</v>
      </c>
      <c r="K517">
        <v>0</v>
      </c>
      <c r="L517">
        <v>1</v>
      </c>
      <c r="M517">
        <v>0</v>
      </c>
      <c r="N517">
        <v>1</v>
      </c>
    </row>
    <row r="518" spans="1:16" x14ac:dyDescent="0.25">
      <c r="A518" t="str">
        <f>"514"</f>
        <v>514</v>
      </c>
      <c r="B518" t="str">
        <f t="shared" si="29"/>
        <v>102</v>
      </c>
      <c r="C518" t="str">
        <f t="shared" si="28"/>
        <v>21</v>
      </c>
      <c r="D518" t="str">
        <f>"21"</f>
        <v>21</v>
      </c>
      <c r="E518" t="str">
        <f>"102-21-21"</f>
        <v>102-21-21</v>
      </c>
      <c r="F518" t="s">
        <v>18</v>
      </c>
      <c r="G518" t="s">
        <v>19</v>
      </c>
      <c r="H518">
        <v>2</v>
      </c>
      <c r="I518">
        <v>1</v>
      </c>
      <c r="J518">
        <v>1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</row>
    <row r="519" spans="1:16" x14ac:dyDescent="0.25">
      <c r="A519" t="str">
        <f>"515"</f>
        <v>515</v>
      </c>
      <c r="B519" t="str">
        <f t="shared" si="29"/>
        <v>102</v>
      </c>
      <c r="C519" t="str">
        <f t="shared" si="28"/>
        <v>21</v>
      </c>
      <c r="D519" t="str">
        <f>"16"</f>
        <v>16</v>
      </c>
      <c r="E519" t="str">
        <f>"102-21-16"</f>
        <v>102-21-16</v>
      </c>
      <c r="F519" t="s">
        <v>18</v>
      </c>
      <c r="G519" t="s">
        <v>20</v>
      </c>
      <c r="H519">
        <v>1</v>
      </c>
      <c r="K519">
        <v>0</v>
      </c>
      <c r="L519">
        <v>1</v>
      </c>
      <c r="M519">
        <v>0</v>
      </c>
      <c r="N519">
        <v>1</v>
      </c>
    </row>
    <row r="520" spans="1:16" x14ac:dyDescent="0.25">
      <c r="A520" t="str">
        <f>"516"</f>
        <v>516</v>
      </c>
      <c r="B520" t="str">
        <f t="shared" si="29"/>
        <v>102</v>
      </c>
      <c r="C520" t="str">
        <f t="shared" si="28"/>
        <v>21</v>
      </c>
      <c r="D520" t="str">
        <f>"2"</f>
        <v>2</v>
      </c>
      <c r="E520" t="str">
        <f>"102-21-2"</f>
        <v>102-21-2</v>
      </c>
      <c r="F520" t="s">
        <v>18</v>
      </c>
      <c r="G520" t="s">
        <v>20</v>
      </c>
      <c r="H520">
        <v>1</v>
      </c>
      <c r="K520">
        <v>1</v>
      </c>
      <c r="L520">
        <v>0</v>
      </c>
      <c r="M520">
        <v>1</v>
      </c>
      <c r="N520">
        <v>0</v>
      </c>
    </row>
    <row r="521" spans="1:16" x14ac:dyDescent="0.25">
      <c r="A521" t="str">
        <f>"517"</f>
        <v>517</v>
      </c>
      <c r="B521" t="str">
        <f t="shared" si="29"/>
        <v>102</v>
      </c>
      <c r="C521" t="str">
        <f t="shared" si="28"/>
        <v>21</v>
      </c>
      <c r="D521" t="str">
        <f>"22"</f>
        <v>22</v>
      </c>
      <c r="E521" t="str">
        <f>"102-21-22"</f>
        <v>102-21-22</v>
      </c>
      <c r="F521" t="s">
        <v>18</v>
      </c>
      <c r="G521" t="s">
        <v>19</v>
      </c>
      <c r="H521">
        <v>2</v>
      </c>
      <c r="I521">
        <v>1</v>
      </c>
      <c r="J521">
        <v>1</v>
      </c>
      <c r="K521">
        <v>1</v>
      </c>
      <c r="L521">
        <v>0</v>
      </c>
      <c r="M521">
        <v>1</v>
      </c>
      <c r="N521">
        <v>0</v>
      </c>
      <c r="O521">
        <v>1</v>
      </c>
      <c r="P521">
        <v>0</v>
      </c>
    </row>
    <row r="522" spans="1:16" x14ac:dyDescent="0.25">
      <c r="A522" t="str">
        <f>"518"</f>
        <v>518</v>
      </c>
      <c r="B522" t="str">
        <f t="shared" si="29"/>
        <v>102</v>
      </c>
      <c r="C522" t="str">
        <f t="shared" si="28"/>
        <v>21</v>
      </c>
      <c r="D522" t="str">
        <f>"17"</f>
        <v>17</v>
      </c>
      <c r="E522" t="str">
        <f>"102-21-17"</f>
        <v>102-21-17</v>
      </c>
      <c r="F522" t="s">
        <v>18</v>
      </c>
      <c r="G522" t="s">
        <v>20</v>
      </c>
      <c r="H522">
        <v>1</v>
      </c>
      <c r="K522">
        <v>0</v>
      </c>
      <c r="L522">
        <v>1</v>
      </c>
      <c r="M522">
        <v>0</v>
      </c>
      <c r="N522">
        <v>1</v>
      </c>
    </row>
    <row r="523" spans="1:16" x14ac:dyDescent="0.25">
      <c r="A523" t="str">
        <f>"519"</f>
        <v>519</v>
      </c>
      <c r="B523" t="str">
        <f t="shared" si="29"/>
        <v>102</v>
      </c>
      <c r="C523" t="str">
        <f t="shared" si="28"/>
        <v>21</v>
      </c>
      <c r="D523" t="str">
        <f>"7"</f>
        <v>7</v>
      </c>
      <c r="E523" t="str">
        <f>"102-21-7"</f>
        <v>102-21-7</v>
      </c>
      <c r="F523" t="s">
        <v>18</v>
      </c>
      <c r="G523" t="s">
        <v>20</v>
      </c>
      <c r="H523">
        <v>1</v>
      </c>
      <c r="K523">
        <v>0</v>
      </c>
      <c r="L523">
        <v>1</v>
      </c>
      <c r="M523">
        <v>0</v>
      </c>
      <c r="N523">
        <v>1</v>
      </c>
    </row>
    <row r="524" spans="1:16" x14ac:dyDescent="0.25">
      <c r="A524" t="str">
        <f>"520"</f>
        <v>520</v>
      </c>
      <c r="B524" t="str">
        <f t="shared" si="29"/>
        <v>102</v>
      </c>
      <c r="C524" t="str">
        <f t="shared" si="28"/>
        <v>21</v>
      </c>
      <c r="D524" t="str">
        <f>"18"</f>
        <v>18</v>
      </c>
      <c r="E524" t="str">
        <f>"102-21-18"</f>
        <v>102-21-18</v>
      </c>
      <c r="F524" t="s">
        <v>18</v>
      </c>
      <c r="G524" t="s">
        <v>20</v>
      </c>
      <c r="H524">
        <v>1</v>
      </c>
      <c r="K524">
        <v>1</v>
      </c>
      <c r="L524">
        <v>0</v>
      </c>
      <c r="M524">
        <v>1</v>
      </c>
      <c r="N524">
        <v>0</v>
      </c>
    </row>
    <row r="525" spans="1:16" x14ac:dyDescent="0.25">
      <c r="A525" t="str">
        <f>"521"</f>
        <v>521</v>
      </c>
      <c r="B525" t="str">
        <f t="shared" si="29"/>
        <v>102</v>
      </c>
      <c r="C525" t="str">
        <f t="shared" si="28"/>
        <v>21</v>
      </c>
      <c r="D525" t="str">
        <f>"9"</f>
        <v>9</v>
      </c>
      <c r="E525" t="str">
        <f>"102-21-9"</f>
        <v>102-21-9</v>
      </c>
      <c r="F525" t="s">
        <v>18</v>
      </c>
      <c r="G525" t="s">
        <v>20</v>
      </c>
      <c r="H525">
        <v>1</v>
      </c>
      <c r="K525">
        <v>0</v>
      </c>
      <c r="L525">
        <v>1</v>
      </c>
      <c r="M525">
        <v>0</v>
      </c>
      <c r="N525">
        <v>1</v>
      </c>
    </row>
    <row r="526" spans="1:16" x14ac:dyDescent="0.25">
      <c r="A526" t="str">
        <f>"522"</f>
        <v>522</v>
      </c>
      <c r="B526" t="str">
        <f t="shared" si="29"/>
        <v>102</v>
      </c>
      <c r="C526" t="str">
        <f t="shared" si="28"/>
        <v>21</v>
      </c>
      <c r="D526" t="str">
        <f>"19"</f>
        <v>19</v>
      </c>
      <c r="E526" t="str">
        <f>"102-21-19"</f>
        <v>102-21-19</v>
      </c>
      <c r="F526" t="s">
        <v>18</v>
      </c>
      <c r="G526" t="s">
        <v>20</v>
      </c>
      <c r="H526">
        <v>1</v>
      </c>
      <c r="K526">
        <v>0</v>
      </c>
      <c r="L526">
        <v>1</v>
      </c>
      <c r="M526">
        <v>0</v>
      </c>
      <c r="N526">
        <v>1</v>
      </c>
    </row>
    <row r="527" spans="1:16" x14ac:dyDescent="0.25">
      <c r="A527" t="str">
        <f>"523"</f>
        <v>523</v>
      </c>
      <c r="B527" t="str">
        <f t="shared" si="29"/>
        <v>102</v>
      </c>
      <c r="C527" t="str">
        <f t="shared" si="28"/>
        <v>21</v>
      </c>
      <c r="D527" t="str">
        <f>"10"</f>
        <v>10</v>
      </c>
      <c r="E527" t="str">
        <f>"102-21-10"</f>
        <v>102-21-10</v>
      </c>
      <c r="F527" t="s">
        <v>18</v>
      </c>
      <c r="G527" t="s">
        <v>20</v>
      </c>
      <c r="H527">
        <v>1</v>
      </c>
      <c r="K527">
        <v>1</v>
      </c>
      <c r="L527">
        <v>0</v>
      </c>
      <c r="M527">
        <v>1</v>
      </c>
      <c r="N527">
        <v>0</v>
      </c>
    </row>
    <row r="528" spans="1:16" x14ac:dyDescent="0.25">
      <c r="A528" t="str">
        <f>"524"</f>
        <v>524</v>
      </c>
      <c r="B528" t="str">
        <f t="shared" si="29"/>
        <v>102</v>
      </c>
      <c r="C528" t="str">
        <f t="shared" si="28"/>
        <v>21</v>
      </c>
      <c r="D528" t="str">
        <f>"20"</f>
        <v>20</v>
      </c>
      <c r="E528" t="str">
        <f>"102-21-20"</f>
        <v>102-21-20</v>
      </c>
      <c r="F528" t="s">
        <v>18</v>
      </c>
      <c r="G528" t="s">
        <v>19</v>
      </c>
      <c r="H528">
        <v>2</v>
      </c>
      <c r="I528">
        <v>1</v>
      </c>
      <c r="J528">
        <v>1</v>
      </c>
      <c r="K528">
        <v>0</v>
      </c>
      <c r="L528">
        <v>1</v>
      </c>
      <c r="M528">
        <v>1</v>
      </c>
      <c r="N528">
        <v>0</v>
      </c>
      <c r="O528">
        <v>0</v>
      </c>
      <c r="P528">
        <v>1</v>
      </c>
    </row>
    <row r="529" spans="1:16" x14ac:dyDescent="0.25">
      <c r="A529" t="str">
        <f>"525"</f>
        <v>525</v>
      </c>
      <c r="B529" t="str">
        <f t="shared" si="29"/>
        <v>102</v>
      </c>
      <c r="C529" t="str">
        <f t="shared" si="28"/>
        <v>21</v>
      </c>
      <c r="D529" t="str">
        <f>"5"</f>
        <v>5</v>
      </c>
      <c r="E529" t="str">
        <f>"102-21-5"</f>
        <v>102-21-5</v>
      </c>
      <c r="F529" t="s">
        <v>18</v>
      </c>
      <c r="G529" t="s">
        <v>20</v>
      </c>
      <c r="H529">
        <v>1</v>
      </c>
      <c r="K529">
        <v>0</v>
      </c>
      <c r="L529">
        <v>1</v>
      </c>
      <c r="M529">
        <v>0</v>
      </c>
      <c r="N529">
        <v>1</v>
      </c>
    </row>
    <row r="530" spans="1:16" x14ac:dyDescent="0.25">
      <c r="A530" t="str">
        <f>"526"</f>
        <v>526</v>
      </c>
      <c r="B530" t="str">
        <f t="shared" si="29"/>
        <v>102</v>
      </c>
      <c r="C530" t="str">
        <f t="shared" ref="C530:C554" si="30">"22"</f>
        <v>22</v>
      </c>
      <c r="D530" t="str">
        <f>"23"</f>
        <v>23</v>
      </c>
      <c r="E530" t="str">
        <f>"102-22-23"</f>
        <v>102-22-23</v>
      </c>
      <c r="F530" t="s">
        <v>18</v>
      </c>
      <c r="G530" t="s">
        <v>20</v>
      </c>
      <c r="H530">
        <v>1</v>
      </c>
      <c r="K530">
        <v>1</v>
      </c>
      <c r="L530">
        <v>0</v>
      </c>
      <c r="M530">
        <v>1</v>
      </c>
      <c r="N530">
        <v>0</v>
      </c>
    </row>
    <row r="531" spans="1:16" x14ac:dyDescent="0.25">
      <c r="A531" t="str">
        <f>"527"</f>
        <v>527</v>
      </c>
      <c r="B531" t="str">
        <f t="shared" si="29"/>
        <v>102</v>
      </c>
      <c r="C531" t="str">
        <f t="shared" si="30"/>
        <v>22</v>
      </c>
      <c r="D531" t="str">
        <f>"11"</f>
        <v>11</v>
      </c>
      <c r="E531" t="str">
        <f>"102-22-11"</f>
        <v>102-22-11</v>
      </c>
      <c r="F531" t="s">
        <v>18</v>
      </c>
      <c r="G531" t="s">
        <v>19</v>
      </c>
      <c r="H531">
        <v>2</v>
      </c>
      <c r="I531">
        <v>1</v>
      </c>
      <c r="J531">
        <v>1</v>
      </c>
      <c r="K531">
        <v>1</v>
      </c>
      <c r="L531">
        <v>0</v>
      </c>
      <c r="M531">
        <v>1</v>
      </c>
      <c r="N531">
        <v>0</v>
      </c>
      <c r="O531">
        <v>1</v>
      </c>
      <c r="P531">
        <v>0</v>
      </c>
    </row>
    <row r="532" spans="1:16" x14ac:dyDescent="0.25">
      <c r="A532" t="str">
        <f>"528"</f>
        <v>528</v>
      </c>
      <c r="B532" t="str">
        <f t="shared" si="29"/>
        <v>102</v>
      </c>
      <c r="C532" t="str">
        <f t="shared" si="30"/>
        <v>22</v>
      </c>
      <c r="D532" t="str">
        <f>"2"</f>
        <v>2</v>
      </c>
      <c r="E532" t="str">
        <f>"102-22-2"</f>
        <v>102-22-2</v>
      </c>
      <c r="F532" t="s">
        <v>18</v>
      </c>
      <c r="G532" t="s">
        <v>20</v>
      </c>
      <c r="H532">
        <v>1</v>
      </c>
      <c r="K532">
        <v>1</v>
      </c>
      <c r="L532">
        <v>0</v>
      </c>
      <c r="M532">
        <v>1</v>
      </c>
      <c r="N532">
        <v>0</v>
      </c>
    </row>
    <row r="533" spans="1:16" x14ac:dyDescent="0.25">
      <c r="A533" t="str">
        <f>"529"</f>
        <v>529</v>
      </c>
      <c r="B533" t="str">
        <f t="shared" si="29"/>
        <v>102</v>
      </c>
      <c r="C533" t="str">
        <f t="shared" si="30"/>
        <v>22</v>
      </c>
      <c r="D533" t="str">
        <f>"24"</f>
        <v>24</v>
      </c>
      <c r="E533" t="str">
        <f>"102-22-24"</f>
        <v>102-22-24</v>
      </c>
      <c r="F533" t="s">
        <v>18</v>
      </c>
      <c r="G533" t="s">
        <v>20</v>
      </c>
      <c r="H533">
        <v>1</v>
      </c>
      <c r="K533">
        <v>1</v>
      </c>
      <c r="L533">
        <v>0</v>
      </c>
      <c r="M533">
        <v>1</v>
      </c>
      <c r="N533">
        <v>0</v>
      </c>
    </row>
    <row r="534" spans="1:16" x14ac:dyDescent="0.25">
      <c r="A534" t="str">
        <f>"530"</f>
        <v>530</v>
      </c>
      <c r="B534" t="str">
        <f t="shared" si="29"/>
        <v>102</v>
      </c>
      <c r="C534" t="str">
        <f t="shared" si="30"/>
        <v>22</v>
      </c>
      <c r="D534" t="str">
        <f>"12"</f>
        <v>12</v>
      </c>
      <c r="E534" t="str">
        <f>"102-22-12"</f>
        <v>102-22-12</v>
      </c>
      <c r="F534" t="s">
        <v>18</v>
      </c>
      <c r="G534" t="s">
        <v>19</v>
      </c>
      <c r="H534">
        <v>2</v>
      </c>
      <c r="I534">
        <v>1</v>
      </c>
      <c r="J534">
        <v>1</v>
      </c>
      <c r="K534">
        <v>1</v>
      </c>
      <c r="L534">
        <v>0</v>
      </c>
      <c r="M534">
        <v>1</v>
      </c>
      <c r="N534">
        <v>0</v>
      </c>
      <c r="O534">
        <v>1</v>
      </c>
      <c r="P534">
        <v>0</v>
      </c>
    </row>
    <row r="535" spans="1:16" x14ac:dyDescent="0.25">
      <c r="A535" t="str">
        <f>"531"</f>
        <v>531</v>
      </c>
      <c r="B535" t="str">
        <f t="shared" si="29"/>
        <v>102</v>
      </c>
      <c r="C535" t="str">
        <f t="shared" si="30"/>
        <v>22</v>
      </c>
      <c r="D535" t="str">
        <f>"4"</f>
        <v>4</v>
      </c>
      <c r="E535" t="str">
        <f>"102-22-4"</f>
        <v>102-22-4</v>
      </c>
      <c r="F535" t="s">
        <v>18</v>
      </c>
      <c r="G535" t="s">
        <v>20</v>
      </c>
      <c r="H535">
        <v>1</v>
      </c>
      <c r="K535">
        <v>0</v>
      </c>
      <c r="L535">
        <v>1</v>
      </c>
      <c r="M535">
        <v>0</v>
      </c>
      <c r="N535">
        <v>1</v>
      </c>
    </row>
    <row r="536" spans="1:16" x14ac:dyDescent="0.25">
      <c r="A536" t="str">
        <f>"532"</f>
        <v>532</v>
      </c>
      <c r="B536" t="str">
        <f t="shared" si="29"/>
        <v>102</v>
      </c>
      <c r="C536" t="str">
        <f t="shared" si="30"/>
        <v>22</v>
      </c>
      <c r="D536" t="str">
        <f>"25"</f>
        <v>25</v>
      </c>
      <c r="E536" t="str">
        <f>"102-22-25"</f>
        <v>102-22-25</v>
      </c>
      <c r="F536" t="s">
        <v>18</v>
      </c>
      <c r="G536" t="s">
        <v>19</v>
      </c>
      <c r="H536">
        <v>2</v>
      </c>
      <c r="I536">
        <v>1</v>
      </c>
      <c r="J536">
        <v>1</v>
      </c>
      <c r="K536">
        <v>0</v>
      </c>
      <c r="L536">
        <v>1</v>
      </c>
      <c r="M536">
        <v>0</v>
      </c>
      <c r="N536">
        <v>1</v>
      </c>
      <c r="O536">
        <v>1</v>
      </c>
      <c r="P536">
        <v>0</v>
      </c>
    </row>
    <row r="537" spans="1:16" x14ac:dyDescent="0.25">
      <c r="A537" t="str">
        <f>"533"</f>
        <v>533</v>
      </c>
      <c r="B537" t="str">
        <f t="shared" si="29"/>
        <v>102</v>
      </c>
      <c r="C537" t="str">
        <f t="shared" si="30"/>
        <v>22</v>
      </c>
      <c r="D537" t="str">
        <f>"13"</f>
        <v>13</v>
      </c>
      <c r="E537" t="str">
        <f>"102-22-13"</f>
        <v>102-22-13</v>
      </c>
      <c r="F537" t="s">
        <v>18</v>
      </c>
      <c r="G537" t="s">
        <v>19</v>
      </c>
      <c r="H537">
        <v>2</v>
      </c>
      <c r="I537">
        <v>0</v>
      </c>
      <c r="J537">
        <v>0</v>
      </c>
      <c r="K537">
        <v>0</v>
      </c>
      <c r="L537">
        <v>1</v>
      </c>
      <c r="M537">
        <v>0</v>
      </c>
      <c r="N537">
        <v>1</v>
      </c>
      <c r="O537">
        <v>1</v>
      </c>
      <c r="P537">
        <v>0</v>
      </c>
    </row>
    <row r="538" spans="1:16" x14ac:dyDescent="0.25">
      <c r="A538" t="str">
        <f>"534"</f>
        <v>534</v>
      </c>
      <c r="B538" t="str">
        <f t="shared" si="29"/>
        <v>102</v>
      </c>
      <c r="C538" t="str">
        <f t="shared" si="30"/>
        <v>22</v>
      </c>
      <c r="D538" t="str">
        <f>"5"</f>
        <v>5</v>
      </c>
      <c r="E538" t="str">
        <f>"102-22-5"</f>
        <v>102-22-5</v>
      </c>
      <c r="F538" t="s">
        <v>18</v>
      </c>
      <c r="G538" t="s">
        <v>20</v>
      </c>
      <c r="H538">
        <v>1</v>
      </c>
      <c r="K538">
        <v>1</v>
      </c>
      <c r="L538">
        <v>0</v>
      </c>
      <c r="M538">
        <v>0</v>
      </c>
      <c r="N538">
        <v>1</v>
      </c>
    </row>
    <row r="539" spans="1:16" x14ac:dyDescent="0.25">
      <c r="A539" t="str">
        <f>"535"</f>
        <v>535</v>
      </c>
      <c r="B539" t="str">
        <f t="shared" si="29"/>
        <v>102</v>
      </c>
      <c r="C539" t="str">
        <f t="shared" si="30"/>
        <v>22</v>
      </c>
      <c r="D539" t="str">
        <f>"14"</f>
        <v>14</v>
      </c>
      <c r="E539" t="str">
        <f>"102-22-14"</f>
        <v>102-22-14</v>
      </c>
      <c r="F539" t="s">
        <v>18</v>
      </c>
      <c r="G539" t="s">
        <v>19</v>
      </c>
      <c r="H539">
        <v>2</v>
      </c>
      <c r="I539">
        <v>1</v>
      </c>
      <c r="J539">
        <v>1</v>
      </c>
      <c r="K539">
        <v>0</v>
      </c>
      <c r="L539">
        <v>1</v>
      </c>
      <c r="M539">
        <v>0</v>
      </c>
      <c r="N539">
        <v>1</v>
      </c>
      <c r="O539">
        <v>1</v>
      </c>
      <c r="P539">
        <v>0</v>
      </c>
    </row>
    <row r="540" spans="1:16" x14ac:dyDescent="0.25">
      <c r="A540" t="str">
        <f>"536"</f>
        <v>536</v>
      </c>
      <c r="B540" t="str">
        <f t="shared" si="29"/>
        <v>102</v>
      </c>
      <c r="C540" t="str">
        <f t="shared" si="30"/>
        <v>22</v>
      </c>
      <c r="D540" t="str">
        <f>"8"</f>
        <v>8</v>
      </c>
      <c r="E540" t="str">
        <f>"102-22-8"</f>
        <v>102-22-8</v>
      </c>
      <c r="F540" t="s">
        <v>18</v>
      </c>
      <c r="G540" t="s">
        <v>20</v>
      </c>
      <c r="H540">
        <v>1</v>
      </c>
      <c r="K540">
        <v>1</v>
      </c>
      <c r="L540">
        <v>0</v>
      </c>
      <c r="M540">
        <v>0</v>
      </c>
      <c r="N540">
        <v>1</v>
      </c>
    </row>
    <row r="541" spans="1:16" x14ac:dyDescent="0.25">
      <c r="A541" t="str">
        <f>"537"</f>
        <v>537</v>
      </c>
      <c r="B541" t="str">
        <f t="shared" si="29"/>
        <v>102</v>
      </c>
      <c r="C541" t="str">
        <f t="shared" si="30"/>
        <v>22</v>
      </c>
      <c r="D541" t="str">
        <f>"15"</f>
        <v>15</v>
      </c>
      <c r="E541" t="str">
        <f>"102-22-15"</f>
        <v>102-22-15</v>
      </c>
      <c r="F541" t="s">
        <v>18</v>
      </c>
      <c r="G541" t="s">
        <v>19</v>
      </c>
      <c r="H541">
        <v>2</v>
      </c>
      <c r="I541">
        <v>1</v>
      </c>
      <c r="J541">
        <v>1</v>
      </c>
      <c r="K541">
        <v>1</v>
      </c>
      <c r="L541">
        <v>0</v>
      </c>
      <c r="M541">
        <v>1</v>
      </c>
      <c r="N541">
        <v>0</v>
      </c>
      <c r="O541">
        <v>1</v>
      </c>
      <c r="P541">
        <v>0</v>
      </c>
    </row>
    <row r="542" spans="1:16" x14ac:dyDescent="0.25">
      <c r="A542" t="str">
        <f>"538"</f>
        <v>538</v>
      </c>
      <c r="B542" t="str">
        <f t="shared" si="29"/>
        <v>102</v>
      </c>
      <c r="C542" t="str">
        <f t="shared" si="30"/>
        <v>22</v>
      </c>
      <c r="D542" t="str">
        <f>"3"</f>
        <v>3</v>
      </c>
      <c r="E542" t="str">
        <f>"102-22-3"</f>
        <v>102-22-3</v>
      </c>
      <c r="F542" t="s">
        <v>18</v>
      </c>
      <c r="G542" t="s">
        <v>20</v>
      </c>
      <c r="H542">
        <v>1</v>
      </c>
      <c r="K542">
        <v>0</v>
      </c>
      <c r="L542">
        <v>1</v>
      </c>
      <c r="M542">
        <v>0</v>
      </c>
      <c r="N542">
        <v>1</v>
      </c>
    </row>
    <row r="543" spans="1:16" x14ac:dyDescent="0.25">
      <c r="A543" t="str">
        <f>"539"</f>
        <v>539</v>
      </c>
      <c r="B543" t="str">
        <f t="shared" si="29"/>
        <v>102</v>
      </c>
      <c r="C543" t="str">
        <f t="shared" si="30"/>
        <v>22</v>
      </c>
      <c r="D543" t="str">
        <f>"21"</f>
        <v>21</v>
      </c>
      <c r="E543" t="str">
        <f>"102-22-21"</f>
        <v>102-22-21</v>
      </c>
      <c r="F543" t="s">
        <v>18</v>
      </c>
      <c r="G543" t="s">
        <v>19</v>
      </c>
      <c r="H543">
        <v>2</v>
      </c>
      <c r="I543">
        <v>0</v>
      </c>
      <c r="J543">
        <v>1</v>
      </c>
      <c r="K543">
        <v>0</v>
      </c>
      <c r="L543">
        <v>1</v>
      </c>
      <c r="M543">
        <v>0</v>
      </c>
      <c r="N543">
        <v>1</v>
      </c>
      <c r="O543">
        <v>1</v>
      </c>
      <c r="P543">
        <v>0</v>
      </c>
    </row>
    <row r="544" spans="1:16" x14ac:dyDescent="0.25">
      <c r="A544" t="str">
        <f>"540"</f>
        <v>540</v>
      </c>
      <c r="B544" t="str">
        <f t="shared" si="29"/>
        <v>102</v>
      </c>
      <c r="C544" t="str">
        <f t="shared" si="30"/>
        <v>22</v>
      </c>
      <c r="D544" t="str">
        <f>"16"</f>
        <v>16</v>
      </c>
      <c r="E544" t="str">
        <f>"102-22-16"</f>
        <v>102-22-16</v>
      </c>
      <c r="F544" t="s">
        <v>18</v>
      </c>
      <c r="G544" t="s">
        <v>19</v>
      </c>
      <c r="H544">
        <v>2</v>
      </c>
      <c r="I544">
        <v>1</v>
      </c>
      <c r="J544">
        <v>1</v>
      </c>
      <c r="K544">
        <v>1</v>
      </c>
      <c r="L544">
        <v>0</v>
      </c>
      <c r="M544">
        <v>1</v>
      </c>
      <c r="N544">
        <v>0</v>
      </c>
      <c r="O544">
        <v>1</v>
      </c>
      <c r="P544">
        <v>0</v>
      </c>
    </row>
    <row r="545" spans="1:16" x14ac:dyDescent="0.25">
      <c r="A545" t="str">
        <f>"541"</f>
        <v>541</v>
      </c>
      <c r="B545" t="str">
        <f t="shared" si="29"/>
        <v>102</v>
      </c>
      <c r="C545" t="str">
        <f t="shared" si="30"/>
        <v>22</v>
      </c>
      <c r="D545" t="str">
        <f>"9"</f>
        <v>9</v>
      </c>
      <c r="E545" t="str">
        <f>"102-22-9"</f>
        <v>102-22-9</v>
      </c>
      <c r="F545" t="s">
        <v>18</v>
      </c>
      <c r="G545" t="s">
        <v>20</v>
      </c>
      <c r="H545">
        <v>1</v>
      </c>
      <c r="K545">
        <v>1</v>
      </c>
      <c r="L545">
        <v>0</v>
      </c>
      <c r="M545">
        <v>0</v>
      </c>
      <c r="N545">
        <v>1</v>
      </c>
    </row>
    <row r="546" spans="1:16" x14ac:dyDescent="0.25">
      <c r="A546" t="str">
        <f>"542"</f>
        <v>542</v>
      </c>
      <c r="B546" t="str">
        <f t="shared" si="29"/>
        <v>102</v>
      </c>
      <c r="C546" t="str">
        <f t="shared" si="30"/>
        <v>22</v>
      </c>
      <c r="D546" t="str">
        <f>"17"</f>
        <v>17</v>
      </c>
      <c r="E546" t="str">
        <f>"102-22-17"</f>
        <v>102-22-17</v>
      </c>
      <c r="F546" t="s">
        <v>18</v>
      </c>
      <c r="G546" t="s">
        <v>19</v>
      </c>
      <c r="H546">
        <v>2</v>
      </c>
      <c r="I546">
        <v>1</v>
      </c>
      <c r="J546">
        <v>1</v>
      </c>
      <c r="K546">
        <v>1</v>
      </c>
      <c r="L546">
        <v>0</v>
      </c>
      <c r="M546">
        <v>1</v>
      </c>
      <c r="N546">
        <v>0</v>
      </c>
      <c r="O546">
        <v>1</v>
      </c>
      <c r="P546">
        <v>0</v>
      </c>
    </row>
    <row r="547" spans="1:16" x14ac:dyDescent="0.25">
      <c r="A547" t="str">
        <f>"543"</f>
        <v>543</v>
      </c>
      <c r="B547" t="str">
        <f t="shared" si="29"/>
        <v>102</v>
      </c>
      <c r="C547" t="str">
        <f t="shared" si="30"/>
        <v>22</v>
      </c>
      <c r="D547" t="str">
        <f>"7"</f>
        <v>7</v>
      </c>
      <c r="E547" t="str">
        <f>"102-22-7"</f>
        <v>102-22-7</v>
      </c>
      <c r="F547" t="s">
        <v>18</v>
      </c>
      <c r="G547" t="s">
        <v>20</v>
      </c>
      <c r="H547">
        <v>1</v>
      </c>
      <c r="K547">
        <v>0</v>
      </c>
      <c r="L547">
        <v>1</v>
      </c>
      <c r="M547">
        <v>0</v>
      </c>
      <c r="N547">
        <v>1</v>
      </c>
    </row>
    <row r="548" spans="1:16" x14ac:dyDescent="0.25">
      <c r="A548" t="str">
        <f>"544"</f>
        <v>544</v>
      </c>
      <c r="B548" t="str">
        <f t="shared" si="29"/>
        <v>102</v>
      </c>
      <c r="C548" t="str">
        <f t="shared" si="30"/>
        <v>22</v>
      </c>
      <c r="D548" t="str">
        <f>"22"</f>
        <v>22</v>
      </c>
      <c r="E548" t="str">
        <f>"102-22-22"</f>
        <v>102-22-22</v>
      </c>
      <c r="F548" t="s">
        <v>18</v>
      </c>
      <c r="G548" t="s">
        <v>19</v>
      </c>
      <c r="H548">
        <v>2</v>
      </c>
      <c r="I548">
        <v>1</v>
      </c>
      <c r="J548">
        <v>1</v>
      </c>
      <c r="K548">
        <v>1</v>
      </c>
      <c r="L548">
        <v>0</v>
      </c>
      <c r="M548">
        <v>1</v>
      </c>
      <c r="N548">
        <v>0</v>
      </c>
      <c r="O548">
        <v>1</v>
      </c>
      <c r="P548">
        <v>0</v>
      </c>
    </row>
    <row r="549" spans="1:16" x14ac:dyDescent="0.25">
      <c r="A549" t="str">
        <f>"545"</f>
        <v>545</v>
      </c>
      <c r="B549" t="str">
        <f t="shared" si="29"/>
        <v>102</v>
      </c>
      <c r="C549" t="str">
        <f t="shared" si="30"/>
        <v>22</v>
      </c>
      <c r="D549" t="str">
        <f>"18"</f>
        <v>18</v>
      </c>
      <c r="E549" t="str">
        <f>"102-22-18"</f>
        <v>102-22-18</v>
      </c>
      <c r="F549" t="s">
        <v>18</v>
      </c>
      <c r="G549" t="s">
        <v>19</v>
      </c>
      <c r="H549">
        <v>2</v>
      </c>
      <c r="I549">
        <v>1</v>
      </c>
      <c r="J549">
        <v>1</v>
      </c>
      <c r="K549">
        <v>1</v>
      </c>
      <c r="L549">
        <v>0</v>
      </c>
      <c r="M549">
        <v>1</v>
      </c>
      <c r="N549">
        <v>0</v>
      </c>
      <c r="O549">
        <v>1</v>
      </c>
      <c r="P549">
        <v>0</v>
      </c>
    </row>
    <row r="550" spans="1:16" x14ac:dyDescent="0.25">
      <c r="A550" t="str">
        <f>"546"</f>
        <v>546</v>
      </c>
      <c r="B550" t="str">
        <f t="shared" si="29"/>
        <v>102</v>
      </c>
      <c r="C550" t="str">
        <f t="shared" si="30"/>
        <v>22</v>
      </c>
      <c r="D550" t="str">
        <f>"6"</f>
        <v>6</v>
      </c>
      <c r="E550" t="str">
        <f>"102-22-6"</f>
        <v>102-22-6</v>
      </c>
      <c r="F550" t="s">
        <v>18</v>
      </c>
      <c r="G550" t="s">
        <v>20</v>
      </c>
      <c r="H550">
        <v>1</v>
      </c>
      <c r="K550">
        <v>0</v>
      </c>
      <c r="L550">
        <v>1</v>
      </c>
      <c r="M550">
        <v>0</v>
      </c>
      <c r="N550">
        <v>1</v>
      </c>
    </row>
    <row r="551" spans="1:16" x14ac:dyDescent="0.25">
      <c r="A551" t="str">
        <f>"547"</f>
        <v>547</v>
      </c>
      <c r="B551" t="str">
        <f t="shared" si="29"/>
        <v>102</v>
      </c>
      <c r="C551" t="str">
        <f t="shared" si="30"/>
        <v>22</v>
      </c>
      <c r="D551" t="str">
        <f>"19"</f>
        <v>19</v>
      </c>
      <c r="E551" t="str">
        <f>"102-22-19"</f>
        <v>102-22-19</v>
      </c>
      <c r="F551" t="s">
        <v>18</v>
      </c>
      <c r="G551" t="s">
        <v>19</v>
      </c>
      <c r="H551">
        <v>2</v>
      </c>
      <c r="I551">
        <v>0</v>
      </c>
      <c r="J551">
        <v>1</v>
      </c>
      <c r="K551">
        <v>0</v>
      </c>
      <c r="L551">
        <v>1</v>
      </c>
      <c r="M551">
        <v>0</v>
      </c>
      <c r="N551">
        <v>1</v>
      </c>
      <c r="O551">
        <v>1</v>
      </c>
      <c r="P551">
        <v>0</v>
      </c>
    </row>
    <row r="552" spans="1:16" x14ac:dyDescent="0.25">
      <c r="A552" t="str">
        <f>"548"</f>
        <v>548</v>
      </c>
      <c r="B552" t="str">
        <f t="shared" si="29"/>
        <v>102</v>
      </c>
      <c r="C552" t="str">
        <f t="shared" si="30"/>
        <v>22</v>
      </c>
      <c r="D552" t="str">
        <f>"1"</f>
        <v>1</v>
      </c>
      <c r="E552" t="str">
        <f>"102-22-1"</f>
        <v>102-22-1</v>
      </c>
      <c r="F552" t="s">
        <v>18</v>
      </c>
      <c r="G552" t="s">
        <v>19</v>
      </c>
      <c r="H552">
        <v>2</v>
      </c>
      <c r="I552">
        <v>1</v>
      </c>
      <c r="J552">
        <v>1</v>
      </c>
      <c r="K552">
        <v>0</v>
      </c>
      <c r="L552">
        <v>1</v>
      </c>
      <c r="M552">
        <v>0</v>
      </c>
      <c r="N552">
        <v>1</v>
      </c>
      <c r="O552">
        <v>1</v>
      </c>
      <c r="P552">
        <v>0</v>
      </c>
    </row>
    <row r="553" spans="1:16" x14ac:dyDescent="0.25">
      <c r="A553" t="str">
        <f>"549"</f>
        <v>549</v>
      </c>
      <c r="B553" t="str">
        <f t="shared" si="29"/>
        <v>102</v>
      </c>
      <c r="C553" t="str">
        <f t="shared" si="30"/>
        <v>22</v>
      </c>
      <c r="D553" t="str">
        <f>"20"</f>
        <v>20</v>
      </c>
      <c r="E553" t="str">
        <f>"102-22-20"</f>
        <v>102-22-20</v>
      </c>
      <c r="F553" t="s">
        <v>18</v>
      </c>
      <c r="G553" t="s">
        <v>19</v>
      </c>
      <c r="H553">
        <v>2</v>
      </c>
      <c r="I553">
        <v>1</v>
      </c>
      <c r="J553">
        <v>1</v>
      </c>
      <c r="K553">
        <v>1</v>
      </c>
      <c r="L553">
        <v>0</v>
      </c>
      <c r="M553">
        <v>0</v>
      </c>
      <c r="N553">
        <v>1</v>
      </c>
      <c r="O553">
        <v>1</v>
      </c>
      <c r="P553">
        <v>0</v>
      </c>
    </row>
    <row r="554" spans="1:16" x14ac:dyDescent="0.25">
      <c r="A554" t="str">
        <f>"550"</f>
        <v>550</v>
      </c>
      <c r="B554" t="str">
        <f t="shared" si="29"/>
        <v>102</v>
      </c>
      <c r="C554" t="str">
        <f t="shared" si="30"/>
        <v>22</v>
      </c>
      <c r="D554" t="str">
        <f>"10"</f>
        <v>10</v>
      </c>
      <c r="E554" t="str">
        <f>"102-22-10"</f>
        <v>102-22-10</v>
      </c>
      <c r="F554" t="s">
        <v>18</v>
      </c>
      <c r="G554" t="s">
        <v>19</v>
      </c>
      <c r="H554">
        <v>2</v>
      </c>
      <c r="I554">
        <v>1</v>
      </c>
      <c r="J554">
        <v>1</v>
      </c>
      <c r="K554">
        <v>0</v>
      </c>
      <c r="L554">
        <v>1</v>
      </c>
      <c r="M554">
        <v>0</v>
      </c>
      <c r="N554">
        <v>1</v>
      </c>
      <c r="O554">
        <v>0</v>
      </c>
      <c r="P554">
        <v>1</v>
      </c>
    </row>
    <row r="555" spans="1:16" x14ac:dyDescent="0.25">
      <c r="A555" t="str">
        <f>"551"</f>
        <v>551</v>
      </c>
      <c r="B555" t="str">
        <f t="shared" si="29"/>
        <v>102</v>
      </c>
      <c r="C555" t="str">
        <f t="shared" ref="C555:C579" si="31">"23"</f>
        <v>23</v>
      </c>
      <c r="D555" t="str">
        <f>"18"</f>
        <v>18</v>
      </c>
      <c r="E555" t="str">
        <f>"102-23-18"</f>
        <v>102-23-18</v>
      </c>
      <c r="F555" t="s">
        <v>18</v>
      </c>
      <c r="G555" t="s">
        <v>19</v>
      </c>
      <c r="H555">
        <v>2</v>
      </c>
      <c r="I555">
        <v>1</v>
      </c>
      <c r="J555">
        <v>1</v>
      </c>
      <c r="K555">
        <v>0</v>
      </c>
      <c r="L555">
        <v>1</v>
      </c>
      <c r="M555">
        <v>0</v>
      </c>
      <c r="N555">
        <v>1</v>
      </c>
      <c r="O555">
        <v>1</v>
      </c>
      <c r="P555">
        <v>0</v>
      </c>
    </row>
    <row r="556" spans="1:16" x14ac:dyDescent="0.25">
      <c r="A556" t="str">
        <f>"552"</f>
        <v>552</v>
      </c>
      <c r="B556" t="str">
        <f t="shared" si="29"/>
        <v>102</v>
      </c>
      <c r="C556" t="str">
        <f t="shared" si="31"/>
        <v>23</v>
      </c>
      <c r="D556" t="str">
        <f>"11"</f>
        <v>11</v>
      </c>
      <c r="E556" t="str">
        <f>"102-23-11"</f>
        <v>102-23-11</v>
      </c>
      <c r="F556" t="s">
        <v>18</v>
      </c>
      <c r="G556" t="s">
        <v>19</v>
      </c>
      <c r="H556">
        <v>2</v>
      </c>
      <c r="I556">
        <v>1</v>
      </c>
      <c r="J556">
        <v>1</v>
      </c>
      <c r="K556">
        <v>1</v>
      </c>
      <c r="L556">
        <v>0</v>
      </c>
      <c r="M556">
        <v>1</v>
      </c>
      <c r="N556">
        <v>0</v>
      </c>
      <c r="O556">
        <v>1</v>
      </c>
      <c r="P556">
        <v>0</v>
      </c>
    </row>
    <row r="557" spans="1:16" x14ac:dyDescent="0.25">
      <c r="A557" t="str">
        <f>"553"</f>
        <v>553</v>
      </c>
      <c r="B557" t="str">
        <f t="shared" si="29"/>
        <v>102</v>
      </c>
      <c r="C557" t="str">
        <f t="shared" si="31"/>
        <v>23</v>
      </c>
      <c r="D557" t="str">
        <f>"2"</f>
        <v>2</v>
      </c>
      <c r="E557" t="str">
        <f>"102-23-2"</f>
        <v>102-23-2</v>
      </c>
      <c r="F557" t="s">
        <v>18</v>
      </c>
      <c r="G557" t="s">
        <v>20</v>
      </c>
      <c r="H557">
        <v>1</v>
      </c>
      <c r="K557">
        <v>1</v>
      </c>
      <c r="L557">
        <v>0</v>
      </c>
      <c r="M557">
        <v>0</v>
      </c>
      <c r="N557">
        <v>1</v>
      </c>
    </row>
    <row r="558" spans="1:16" x14ac:dyDescent="0.25">
      <c r="A558" t="str">
        <f>"554"</f>
        <v>554</v>
      </c>
      <c r="B558" t="str">
        <f t="shared" si="29"/>
        <v>102</v>
      </c>
      <c r="C558" t="str">
        <f t="shared" si="31"/>
        <v>23</v>
      </c>
      <c r="D558" t="str">
        <f>"24"</f>
        <v>24</v>
      </c>
      <c r="E558" t="str">
        <f>"102-23-24"</f>
        <v>102-23-24</v>
      </c>
      <c r="F558" t="s">
        <v>18</v>
      </c>
      <c r="G558" t="s">
        <v>19</v>
      </c>
      <c r="H558">
        <v>2</v>
      </c>
      <c r="I558">
        <v>0</v>
      </c>
      <c r="J558">
        <v>0</v>
      </c>
      <c r="K558">
        <v>0</v>
      </c>
      <c r="L558">
        <v>1</v>
      </c>
      <c r="M558">
        <v>0</v>
      </c>
      <c r="N558">
        <v>1</v>
      </c>
      <c r="O558">
        <v>0</v>
      </c>
      <c r="P558">
        <v>1</v>
      </c>
    </row>
    <row r="559" spans="1:16" x14ac:dyDescent="0.25">
      <c r="A559" t="str">
        <f>"555"</f>
        <v>555</v>
      </c>
      <c r="B559" t="str">
        <f t="shared" si="29"/>
        <v>102</v>
      </c>
      <c r="C559" t="str">
        <f t="shared" si="31"/>
        <v>23</v>
      </c>
      <c r="D559" t="str">
        <f>"23"</f>
        <v>23</v>
      </c>
      <c r="E559" t="str">
        <f>"102-23-23"</f>
        <v>102-23-23</v>
      </c>
      <c r="F559" t="s">
        <v>18</v>
      </c>
      <c r="G559" t="s">
        <v>20</v>
      </c>
      <c r="H559">
        <v>1</v>
      </c>
      <c r="K559">
        <v>0</v>
      </c>
      <c r="L559">
        <v>1</v>
      </c>
      <c r="M559">
        <v>0</v>
      </c>
      <c r="N559">
        <v>1</v>
      </c>
    </row>
    <row r="560" spans="1:16" x14ac:dyDescent="0.25">
      <c r="A560" t="str">
        <f>"556"</f>
        <v>556</v>
      </c>
      <c r="B560" t="str">
        <f t="shared" si="29"/>
        <v>102</v>
      </c>
      <c r="C560" t="str">
        <f t="shared" si="31"/>
        <v>23</v>
      </c>
      <c r="D560" t="str">
        <f>"20"</f>
        <v>20</v>
      </c>
      <c r="E560" t="str">
        <f>"102-23-20"</f>
        <v>102-23-20</v>
      </c>
      <c r="F560" t="s">
        <v>18</v>
      </c>
      <c r="G560" t="s">
        <v>20</v>
      </c>
      <c r="H560">
        <v>1</v>
      </c>
      <c r="K560">
        <v>1</v>
      </c>
      <c r="L560">
        <v>0</v>
      </c>
      <c r="M560">
        <v>1</v>
      </c>
      <c r="N560">
        <v>0</v>
      </c>
    </row>
    <row r="561" spans="1:16" x14ac:dyDescent="0.25">
      <c r="A561" t="str">
        <f>"557"</f>
        <v>557</v>
      </c>
      <c r="B561" t="str">
        <f t="shared" si="29"/>
        <v>102</v>
      </c>
      <c r="C561" t="str">
        <f t="shared" si="31"/>
        <v>23</v>
      </c>
      <c r="D561" t="str">
        <f>"12"</f>
        <v>12</v>
      </c>
      <c r="E561" t="str">
        <f>"102-23-12"</f>
        <v>102-23-12</v>
      </c>
      <c r="F561" t="s">
        <v>18</v>
      </c>
      <c r="G561" t="s">
        <v>19</v>
      </c>
      <c r="H561">
        <v>2</v>
      </c>
      <c r="I561">
        <v>1</v>
      </c>
      <c r="J561">
        <v>1</v>
      </c>
      <c r="K561">
        <v>1</v>
      </c>
      <c r="L561">
        <v>0</v>
      </c>
      <c r="M561">
        <v>1</v>
      </c>
      <c r="N561">
        <v>0</v>
      </c>
      <c r="O561">
        <v>0</v>
      </c>
      <c r="P561">
        <v>1</v>
      </c>
    </row>
    <row r="562" spans="1:16" x14ac:dyDescent="0.25">
      <c r="A562" t="str">
        <f>"558"</f>
        <v>558</v>
      </c>
      <c r="B562" t="str">
        <f t="shared" si="29"/>
        <v>102</v>
      </c>
      <c r="C562" t="str">
        <f t="shared" si="31"/>
        <v>23</v>
      </c>
      <c r="D562" t="str">
        <f>"1"</f>
        <v>1</v>
      </c>
      <c r="E562" t="str">
        <f>"102-23-1"</f>
        <v>102-23-1</v>
      </c>
      <c r="F562" t="s">
        <v>18</v>
      </c>
      <c r="G562" t="s">
        <v>19</v>
      </c>
      <c r="H562">
        <v>2</v>
      </c>
      <c r="I562">
        <v>0</v>
      </c>
      <c r="J562">
        <v>0</v>
      </c>
      <c r="K562">
        <v>0</v>
      </c>
      <c r="L562">
        <v>1</v>
      </c>
      <c r="M562">
        <v>0</v>
      </c>
      <c r="N562">
        <v>1</v>
      </c>
      <c r="O562">
        <v>0</v>
      </c>
      <c r="P562">
        <v>1</v>
      </c>
    </row>
    <row r="563" spans="1:16" x14ac:dyDescent="0.25">
      <c r="A563" t="str">
        <f>"559"</f>
        <v>559</v>
      </c>
      <c r="B563" t="str">
        <f t="shared" si="29"/>
        <v>102</v>
      </c>
      <c r="C563" t="str">
        <f t="shared" si="31"/>
        <v>23</v>
      </c>
      <c r="D563" t="str">
        <f>"25"</f>
        <v>25</v>
      </c>
      <c r="E563" t="str">
        <f>"102-23-25"</f>
        <v>102-23-25</v>
      </c>
      <c r="F563" t="s">
        <v>18</v>
      </c>
      <c r="G563" t="s">
        <v>19</v>
      </c>
      <c r="H563">
        <v>2</v>
      </c>
      <c r="I563">
        <v>0</v>
      </c>
      <c r="J563">
        <v>0</v>
      </c>
      <c r="K563">
        <v>0</v>
      </c>
      <c r="L563">
        <v>1</v>
      </c>
      <c r="M563">
        <v>0</v>
      </c>
      <c r="N563">
        <v>1</v>
      </c>
      <c r="O563">
        <v>0</v>
      </c>
      <c r="P563">
        <v>1</v>
      </c>
    </row>
    <row r="564" spans="1:16" x14ac:dyDescent="0.25">
      <c r="A564" t="str">
        <f>"560"</f>
        <v>560</v>
      </c>
      <c r="B564" t="str">
        <f t="shared" si="29"/>
        <v>102</v>
      </c>
      <c r="C564" t="str">
        <f t="shared" si="31"/>
        <v>23</v>
      </c>
      <c r="D564" t="str">
        <f>"13"</f>
        <v>13</v>
      </c>
      <c r="E564" t="str">
        <f>"102-23-13"</f>
        <v>102-23-13</v>
      </c>
      <c r="F564" t="s">
        <v>18</v>
      </c>
      <c r="G564" t="s">
        <v>19</v>
      </c>
      <c r="H564">
        <v>2</v>
      </c>
      <c r="I564">
        <v>1</v>
      </c>
      <c r="J564">
        <v>1</v>
      </c>
      <c r="K564">
        <v>0</v>
      </c>
      <c r="L564">
        <v>1</v>
      </c>
      <c r="M564">
        <v>0</v>
      </c>
      <c r="N564">
        <v>1</v>
      </c>
      <c r="O564">
        <v>1</v>
      </c>
      <c r="P564">
        <v>0</v>
      </c>
    </row>
    <row r="565" spans="1:16" x14ac:dyDescent="0.25">
      <c r="A565" t="str">
        <f>"561"</f>
        <v>561</v>
      </c>
      <c r="B565" t="str">
        <f t="shared" si="29"/>
        <v>102</v>
      </c>
      <c r="C565" t="str">
        <f t="shared" si="31"/>
        <v>23</v>
      </c>
      <c r="D565" t="str">
        <f>"3"</f>
        <v>3</v>
      </c>
      <c r="E565" t="str">
        <f>"102-23-3"</f>
        <v>102-23-3</v>
      </c>
      <c r="F565" t="s">
        <v>18</v>
      </c>
      <c r="G565" t="s">
        <v>20</v>
      </c>
      <c r="H565">
        <v>1</v>
      </c>
      <c r="K565">
        <v>0</v>
      </c>
      <c r="L565">
        <v>1</v>
      </c>
      <c r="M565">
        <v>0</v>
      </c>
      <c r="N565">
        <v>1</v>
      </c>
    </row>
    <row r="566" spans="1:16" x14ac:dyDescent="0.25">
      <c r="A566" t="str">
        <f>"562"</f>
        <v>562</v>
      </c>
      <c r="B566" t="str">
        <f t="shared" si="29"/>
        <v>102</v>
      </c>
      <c r="C566" t="str">
        <f t="shared" si="31"/>
        <v>23</v>
      </c>
      <c r="D566" t="str">
        <f>"14"</f>
        <v>14</v>
      </c>
      <c r="E566" t="str">
        <f>"102-23-14"</f>
        <v>102-23-14</v>
      </c>
      <c r="F566" t="s">
        <v>18</v>
      </c>
      <c r="G566" t="s">
        <v>19</v>
      </c>
      <c r="H566">
        <v>2</v>
      </c>
      <c r="I566">
        <v>1</v>
      </c>
      <c r="J566">
        <v>1</v>
      </c>
      <c r="K566">
        <v>1</v>
      </c>
      <c r="L566">
        <v>0</v>
      </c>
      <c r="M566">
        <v>1</v>
      </c>
      <c r="N566">
        <v>0</v>
      </c>
      <c r="O566">
        <v>1</v>
      </c>
      <c r="P566">
        <v>0</v>
      </c>
    </row>
    <row r="567" spans="1:16" x14ac:dyDescent="0.25">
      <c r="A567" t="str">
        <f>"563"</f>
        <v>563</v>
      </c>
      <c r="B567" t="str">
        <f t="shared" si="29"/>
        <v>102</v>
      </c>
      <c r="C567" t="str">
        <f t="shared" si="31"/>
        <v>23</v>
      </c>
      <c r="D567" t="str">
        <f>"4"</f>
        <v>4</v>
      </c>
      <c r="E567" t="str">
        <f>"102-23-4"</f>
        <v>102-23-4</v>
      </c>
      <c r="F567" t="s">
        <v>18</v>
      </c>
      <c r="G567" t="s">
        <v>20</v>
      </c>
      <c r="H567">
        <v>1</v>
      </c>
      <c r="K567">
        <v>0</v>
      </c>
      <c r="L567">
        <v>1</v>
      </c>
      <c r="M567">
        <v>0</v>
      </c>
      <c r="N567">
        <v>1</v>
      </c>
    </row>
    <row r="568" spans="1:16" x14ac:dyDescent="0.25">
      <c r="A568" t="str">
        <f>"564"</f>
        <v>564</v>
      </c>
      <c r="B568" t="str">
        <f t="shared" si="29"/>
        <v>102</v>
      </c>
      <c r="C568" t="str">
        <f t="shared" si="31"/>
        <v>23</v>
      </c>
      <c r="D568" t="str">
        <f>"15"</f>
        <v>15</v>
      </c>
      <c r="E568" t="str">
        <f>"102-23-15"</f>
        <v>102-23-15</v>
      </c>
      <c r="F568" t="s">
        <v>18</v>
      </c>
      <c r="G568" t="s">
        <v>19</v>
      </c>
      <c r="H568">
        <v>2</v>
      </c>
      <c r="I568">
        <v>1</v>
      </c>
      <c r="J568">
        <v>1</v>
      </c>
      <c r="K568">
        <v>1</v>
      </c>
      <c r="L568">
        <v>0</v>
      </c>
      <c r="M568">
        <v>1</v>
      </c>
      <c r="N568">
        <v>0</v>
      </c>
      <c r="O568">
        <v>1</v>
      </c>
      <c r="P568">
        <v>0</v>
      </c>
    </row>
    <row r="569" spans="1:16" x14ac:dyDescent="0.25">
      <c r="A569" t="str">
        <f>"565"</f>
        <v>565</v>
      </c>
      <c r="B569" t="str">
        <f t="shared" si="29"/>
        <v>102</v>
      </c>
      <c r="C569" t="str">
        <f t="shared" si="31"/>
        <v>23</v>
      </c>
      <c r="D569" t="str">
        <f>"8"</f>
        <v>8</v>
      </c>
      <c r="E569" t="str">
        <f>"102-23-8"</f>
        <v>102-23-8</v>
      </c>
      <c r="F569" t="s">
        <v>18</v>
      </c>
      <c r="G569" t="s">
        <v>19</v>
      </c>
      <c r="H569">
        <v>2</v>
      </c>
      <c r="I569">
        <v>1</v>
      </c>
      <c r="J569">
        <v>0</v>
      </c>
      <c r="K569">
        <v>0</v>
      </c>
      <c r="L569">
        <v>1</v>
      </c>
      <c r="M569">
        <v>0</v>
      </c>
      <c r="N569">
        <v>1</v>
      </c>
      <c r="O569">
        <v>0</v>
      </c>
      <c r="P569">
        <v>1</v>
      </c>
    </row>
    <row r="570" spans="1:16" x14ac:dyDescent="0.25">
      <c r="A570" t="str">
        <f>"566"</f>
        <v>566</v>
      </c>
      <c r="B570" t="str">
        <f t="shared" si="29"/>
        <v>102</v>
      </c>
      <c r="C570" t="str">
        <f t="shared" si="31"/>
        <v>23</v>
      </c>
      <c r="D570" t="str">
        <f>"16"</f>
        <v>16</v>
      </c>
      <c r="E570" t="str">
        <f>"102-23-16"</f>
        <v>102-23-16</v>
      </c>
      <c r="F570" t="s">
        <v>18</v>
      </c>
      <c r="G570" t="s">
        <v>19</v>
      </c>
      <c r="H570">
        <v>2</v>
      </c>
      <c r="I570">
        <v>1</v>
      </c>
      <c r="J570">
        <v>1</v>
      </c>
      <c r="K570">
        <v>0</v>
      </c>
      <c r="L570">
        <v>1</v>
      </c>
      <c r="M570">
        <v>0</v>
      </c>
      <c r="N570">
        <v>1</v>
      </c>
      <c r="O570">
        <v>1</v>
      </c>
      <c r="P570">
        <v>0</v>
      </c>
    </row>
    <row r="571" spans="1:16" x14ac:dyDescent="0.25">
      <c r="A571" t="str">
        <f>"567"</f>
        <v>567</v>
      </c>
      <c r="B571" t="str">
        <f t="shared" si="29"/>
        <v>102</v>
      </c>
      <c r="C571" t="str">
        <f t="shared" si="31"/>
        <v>23</v>
      </c>
      <c r="D571" t="str">
        <f>"10"</f>
        <v>10</v>
      </c>
      <c r="E571" t="str">
        <f>"102-23-10"</f>
        <v>102-23-10</v>
      </c>
      <c r="F571" t="s">
        <v>18</v>
      </c>
      <c r="G571" t="s">
        <v>19</v>
      </c>
      <c r="H571">
        <v>2</v>
      </c>
      <c r="I571">
        <v>0</v>
      </c>
      <c r="J571">
        <v>1</v>
      </c>
      <c r="K571">
        <v>1</v>
      </c>
      <c r="L571">
        <v>0</v>
      </c>
      <c r="M571">
        <v>0</v>
      </c>
      <c r="N571">
        <v>1</v>
      </c>
      <c r="O571">
        <v>1</v>
      </c>
      <c r="P571">
        <v>0</v>
      </c>
    </row>
    <row r="572" spans="1:16" x14ac:dyDescent="0.25">
      <c r="A572" t="str">
        <f>"568"</f>
        <v>568</v>
      </c>
      <c r="B572" t="str">
        <f t="shared" si="29"/>
        <v>102</v>
      </c>
      <c r="C572" t="str">
        <f t="shared" si="31"/>
        <v>23</v>
      </c>
      <c r="D572" t="str">
        <f>"17"</f>
        <v>17</v>
      </c>
      <c r="E572" t="str">
        <f>"102-23-17"</f>
        <v>102-23-17</v>
      </c>
      <c r="F572" t="s">
        <v>18</v>
      </c>
      <c r="G572" t="s">
        <v>19</v>
      </c>
      <c r="H572">
        <v>2</v>
      </c>
      <c r="I572">
        <v>1</v>
      </c>
      <c r="J572">
        <v>1</v>
      </c>
      <c r="K572">
        <v>1</v>
      </c>
      <c r="L572">
        <v>0</v>
      </c>
      <c r="M572">
        <v>1</v>
      </c>
      <c r="N572">
        <v>0</v>
      </c>
      <c r="O572">
        <v>1</v>
      </c>
      <c r="P572">
        <v>0</v>
      </c>
    </row>
    <row r="573" spans="1:16" x14ac:dyDescent="0.25">
      <c r="A573" t="str">
        <f>"569"</f>
        <v>569</v>
      </c>
      <c r="B573" t="str">
        <f t="shared" si="29"/>
        <v>102</v>
      </c>
      <c r="C573" t="str">
        <f t="shared" si="31"/>
        <v>23</v>
      </c>
      <c r="D573" t="str">
        <f>"7"</f>
        <v>7</v>
      </c>
      <c r="E573" t="str">
        <f>"102-23-7"</f>
        <v>102-23-7</v>
      </c>
      <c r="F573" t="s">
        <v>18</v>
      </c>
      <c r="G573" t="s">
        <v>19</v>
      </c>
      <c r="H573">
        <v>2</v>
      </c>
      <c r="I573">
        <v>1</v>
      </c>
      <c r="J573">
        <v>1</v>
      </c>
      <c r="K573">
        <v>0</v>
      </c>
      <c r="L573">
        <v>1</v>
      </c>
      <c r="M573">
        <v>0</v>
      </c>
      <c r="N573">
        <v>1</v>
      </c>
      <c r="O573">
        <v>0</v>
      </c>
      <c r="P573">
        <v>1</v>
      </c>
    </row>
    <row r="574" spans="1:16" x14ac:dyDescent="0.25">
      <c r="A574" t="str">
        <f>"570"</f>
        <v>570</v>
      </c>
      <c r="B574" t="str">
        <f t="shared" si="29"/>
        <v>102</v>
      </c>
      <c r="C574" t="str">
        <f t="shared" si="31"/>
        <v>23</v>
      </c>
      <c r="D574" t="str">
        <f>"19"</f>
        <v>19</v>
      </c>
      <c r="E574" t="str">
        <f>"102-23-19"</f>
        <v>102-23-19</v>
      </c>
      <c r="F574" t="s">
        <v>18</v>
      </c>
      <c r="G574" t="s">
        <v>19</v>
      </c>
      <c r="H574">
        <v>2</v>
      </c>
      <c r="I574">
        <v>1</v>
      </c>
      <c r="J574">
        <v>1</v>
      </c>
      <c r="K574">
        <v>0</v>
      </c>
      <c r="L574">
        <v>1</v>
      </c>
      <c r="M574">
        <v>0</v>
      </c>
      <c r="N574">
        <v>1</v>
      </c>
      <c r="O574">
        <v>1</v>
      </c>
      <c r="P574">
        <v>0</v>
      </c>
    </row>
    <row r="575" spans="1:16" x14ac:dyDescent="0.25">
      <c r="A575" t="str">
        <f>"571"</f>
        <v>571</v>
      </c>
      <c r="B575" t="str">
        <f t="shared" si="29"/>
        <v>102</v>
      </c>
      <c r="C575" t="str">
        <f t="shared" si="31"/>
        <v>23</v>
      </c>
      <c r="D575" t="str">
        <f>"6"</f>
        <v>6</v>
      </c>
      <c r="E575" t="str">
        <f>"102-23-6"</f>
        <v>102-23-6</v>
      </c>
      <c r="F575" t="s">
        <v>18</v>
      </c>
      <c r="G575" t="s">
        <v>19</v>
      </c>
      <c r="H575">
        <v>2</v>
      </c>
      <c r="I575">
        <v>1</v>
      </c>
      <c r="J575">
        <v>1</v>
      </c>
      <c r="K575">
        <v>0</v>
      </c>
      <c r="L575">
        <v>1</v>
      </c>
      <c r="M575">
        <v>0</v>
      </c>
      <c r="N575">
        <v>1</v>
      </c>
      <c r="O575">
        <v>1</v>
      </c>
      <c r="P575">
        <v>0</v>
      </c>
    </row>
    <row r="576" spans="1:16" x14ac:dyDescent="0.25">
      <c r="A576" t="str">
        <f>"572"</f>
        <v>572</v>
      </c>
      <c r="B576" t="str">
        <f t="shared" si="29"/>
        <v>102</v>
      </c>
      <c r="C576" t="str">
        <f t="shared" si="31"/>
        <v>23</v>
      </c>
      <c r="D576" t="str">
        <f>"21"</f>
        <v>21</v>
      </c>
      <c r="E576" t="str">
        <f>"102-23-21"</f>
        <v>102-23-21</v>
      </c>
      <c r="F576" t="s">
        <v>18</v>
      </c>
      <c r="G576" t="s">
        <v>20</v>
      </c>
      <c r="H576">
        <v>1</v>
      </c>
      <c r="K576">
        <v>0</v>
      </c>
      <c r="L576">
        <v>1</v>
      </c>
      <c r="M576">
        <v>0</v>
      </c>
      <c r="N576">
        <v>1</v>
      </c>
    </row>
    <row r="577" spans="1:16" x14ac:dyDescent="0.25">
      <c r="A577" t="str">
        <f>"573"</f>
        <v>573</v>
      </c>
      <c r="B577" t="str">
        <f t="shared" si="29"/>
        <v>102</v>
      </c>
      <c r="C577" t="str">
        <f t="shared" si="31"/>
        <v>23</v>
      </c>
      <c r="D577" t="str">
        <f>"5"</f>
        <v>5</v>
      </c>
      <c r="E577" t="str">
        <f>"102-23-5"</f>
        <v>102-23-5</v>
      </c>
      <c r="F577" t="s">
        <v>18</v>
      </c>
      <c r="G577" t="s">
        <v>19</v>
      </c>
      <c r="H577">
        <v>2</v>
      </c>
      <c r="I577">
        <v>1</v>
      </c>
      <c r="J577">
        <v>0</v>
      </c>
      <c r="K577">
        <v>0</v>
      </c>
      <c r="L577">
        <v>1</v>
      </c>
      <c r="M577">
        <v>0</v>
      </c>
      <c r="N577">
        <v>1</v>
      </c>
      <c r="O577">
        <v>1</v>
      </c>
      <c r="P577">
        <v>0</v>
      </c>
    </row>
    <row r="578" spans="1:16" x14ac:dyDescent="0.25">
      <c r="A578" t="str">
        <f>"574"</f>
        <v>574</v>
      </c>
      <c r="B578" t="str">
        <f t="shared" si="29"/>
        <v>102</v>
      </c>
      <c r="C578" t="str">
        <f t="shared" si="31"/>
        <v>23</v>
      </c>
      <c r="D578" t="str">
        <f>"22"</f>
        <v>22</v>
      </c>
      <c r="E578" t="str">
        <f>"102-23-22"</f>
        <v>102-23-22</v>
      </c>
      <c r="F578" t="s">
        <v>18</v>
      </c>
      <c r="G578" t="s">
        <v>20</v>
      </c>
      <c r="H578">
        <v>1</v>
      </c>
      <c r="K578">
        <v>0</v>
      </c>
      <c r="L578">
        <v>1</v>
      </c>
      <c r="M578">
        <v>0</v>
      </c>
      <c r="N578">
        <v>1</v>
      </c>
    </row>
    <row r="579" spans="1:16" x14ac:dyDescent="0.25">
      <c r="A579" t="str">
        <f>"575"</f>
        <v>575</v>
      </c>
      <c r="B579" t="str">
        <f t="shared" si="29"/>
        <v>102</v>
      </c>
      <c r="C579" t="str">
        <f t="shared" si="31"/>
        <v>23</v>
      </c>
      <c r="D579" t="str">
        <f>"9"</f>
        <v>9</v>
      </c>
      <c r="E579" t="str">
        <f>"102-23-9"</f>
        <v>102-23-9</v>
      </c>
      <c r="F579" t="s">
        <v>18</v>
      </c>
      <c r="G579" t="s">
        <v>19</v>
      </c>
      <c r="H579">
        <v>2</v>
      </c>
      <c r="I579">
        <v>1</v>
      </c>
      <c r="J579">
        <v>1</v>
      </c>
      <c r="K579">
        <v>0</v>
      </c>
      <c r="L579">
        <v>1</v>
      </c>
      <c r="M579">
        <v>0</v>
      </c>
      <c r="N579">
        <v>1</v>
      </c>
      <c r="O579">
        <v>1</v>
      </c>
      <c r="P579">
        <v>0</v>
      </c>
    </row>
    <row r="580" spans="1:16" x14ac:dyDescent="0.25">
      <c r="A580" t="str">
        <f>"576"</f>
        <v>576</v>
      </c>
      <c r="B580" t="str">
        <f t="shared" si="29"/>
        <v>102</v>
      </c>
      <c r="C580" t="str">
        <f t="shared" ref="C580:C604" si="32">"24"</f>
        <v>24</v>
      </c>
      <c r="D580" t="str">
        <f>"23"</f>
        <v>23</v>
      </c>
      <c r="E580" t="str">
        <f>"102-24-23"</f>
        <v>102-24-23</v>
      </c>
      <c r="F580" t="s">
        <v>18</v>
      </c>
      <c r="G580" t="s">
        <v>20</v>
      </c>
      <c r="H580">
        <v>1</v>
      </c>
      <c r="K580">
        <v>1</v>
      </c>
      <c r="L580">
        <v>0</v>
      </c>
      <c r="M580">
        <v>1</v>
      </c>
      <c r="N580">
        <v>0</v>
      </c>
    </row>
    <row r="581" spans="1:16" x14ac:dyDescent="0.25">
      <c r="A581" t="str">
        <f>"577"</f>
        <v>577</v>
      </c>
      <c r="B581" t="str">
        <f t="shared" ref="B581:B644" si="33">"102"</f>
        <v>102</v>
      </c>
      <c r="C581" t="str">
        <f t="shared" si="32"/>
        <v>24</v>
      </c>
      <c r="D581" t="str">
        <f>"22"</f>
        <v>22</v>
      </c>
      <c r="E581" t="str">
        <f>"102-24-22"</f>
        <v>102-24-22</v>
      </c>
      <c r="F581" t="s">
        <v>18</v>
      </c>
      <c r="G581" t="s">
        <v>20</v>
      </c>
      <c r="H581">
        <v>1</v>
      </c>
      <c r="K581">
        <v>1</v>
      </c>
      <c r="L581">
        <v>0</v>
      </c>
      <c r="M581">
        <v>1</v>
      </c>
      <c r="N581">
        <v>0</v>
      </c>
    </row>
    <row r="582" spans="1:16" x14ac:dyDescent="0.25">
      <c r="A582" t="str">
        <f>"578"</f>
        <v>578</v>
      </c>
      <c r="B582" t="str">
        <f t="shared" si="33"/>
        <v>102</v>
      </c>
      <c r="C582" t="str">
        <f t="shared" si="32"/>
        <v>24</v>
      </c>
      <c r="D582" t="str">
        <f>"21"</f>
        <v>21</v>
      </c>
      <c r="E582" t="str">
        <f>"102-24-21"</f>
        <v>102-24-21</v>
      </c>
      <c r="F582" t="s">
        <v>18</v>
      </c>
      <c r="G582" t="s">
        <v>20</v>
      </c>
      <c r="H582">
        <v>1</v>
      </c>
      <c r="K582">
        <v>0</v>
      </c>
      <c r="L582">
        <v>1</v>
      </c>
      <c r="M582">
        <v>0</v>
      </c>
      <c r="N582">
        <v>1</v>
      </c>
    </row>
    <row r="583" spans="1:16" x14ac:dyDescent="0.25">
      <c r="A583" t="str">
        <f>"579"</f>
        <v>579</v>
      </c>
      <c r="B583" t="str">
        <f t="shared" si="33"/>
        <v>102</v>
      </c>
      <c r="C583" t="str">
        <f t="shared" si="32"/>
        <v>24</v>
      </c>
      <c r="D583" t="str">
        <f>"11"</f>
        <v>11</v>
      </c>
      <c r="E583" t="str">
        <f>"102-24-11"</f>
        <v>102-24-11</v>
      </c>
      <c r="F583" t="s">
        <v>18</v>
      </c>
      <c r="G583" t="s">
        <v>20</v>
      </c>
      <c r="H583">
        <v>1</v>
      </c>
      <c r="K583">
        <v>1</v>
      </c>
      <c r="L583">
        <v>0</v>
      </c>
      <c r="M583">
        <v>1</v>
      </c>
      <c r="N583">
        <v>0</v>
      </c>
    </row>
    <row r="584" spans="1:16" x14ac:dyDescent="0.25">
      <c r="A584" t="str">
        <f>"580"</f>
        <v>580</v>
      </c>
      <c r="B584" t="str">
        <f t="shared" si="33"/>
        <v>102</v>
      </c>
      <c r="C584" t="str">
        <f t="shared" si="32"/>
        <v>24</v>
      </c>
      <c r="D584" t="str">
        <f>"1"</f>
        <v>1</v>
      </c>
      <c r="E584" t="str">
        <f>"102-24-1"</f>
        <v>102-24-1</v>
      </c>
      <c r="F584" t="s">
        <v>18</v>
      </c>
      <c r="G584" t="s">
        <v>20</v>
      </c>
      <c r="H584">
        <v>1</v>
      </c>
      <c r="K584">
        <v>1</v>
      </c>
      <c r="L584">
        <v>0</v>
      </c>
      <c r="M584">
        <v>1</v>
      </c>
      <c r="N584">
        <v>0</v>
      </c>
    </row>
    <row r="585" spans="1:16" x14ac:dyDescent="0.25">
      <c r="A585" t="str">
        <f>"581"</f>
        <v>581</v>
      </c>
      <c r="B585" t="str">
        <f t="shared" si="33"/>
        <v>102</v>
      </c>
      <c r="C585" t="str">
        <f t="shared" si="32"/>
        <v>24</v>
      </c>
      <c r="D585" t="str">
        <f>"12"</f>
        <v>12</v>
      </c>
      <c r="E585" t="str">
        <f>"102-24-12"</f>
        <v>102-24-12</v>
      </c>
      <c r="F585" t="s">
        <v>18</v>
      </c>
      <c r="G585" t="s">
        <v>20</v>
      </c>
      <c r="H585">
        <v>1</v>
      </c>
      <c r="K585">
        <v>0</v>
      </c>
      <c r="L585">
        <v>1</v>
      </c>
      <c r="M585">
        <v>0</v>
      </c>
      <c r="N585">
        <v>1</v>
      </c>
    </row>
    <row r="586" spans="1:16" x14ac:dyDescent="0.25">
      <c r="A586" t="str">
        <f>"582"</f>
        <v>582</v>
      </c>
      <c r="B586" t="str">
        <f t="shared" si="33"/>
        <v>102</v>
      </c>
      <c r="C586" t="str">
        <f t="shared" si="32"/>
        <v>24</v>
      </c>
      <c r="D586" t="str">
        <f>"2"</f>
        <v>2</v>
      </c>
      <c r="E586" t="str">
        <f>"102-24-2"</f>
        <v>102-24-2</v>
      </c>
      <c r="F586" t="s">
        <v>18</v>
      </c>
      <c r="G586" t="s">
        <v>20</v>
      </c>
      <c r="H586">
        <v>1</v>
      </c>
      <c r="K586">
        <v>1</v>
      </c>
      <c r="L586">
        <v>0</v>
      </c>
      <c r="M586">
        <v>1</v>
      </c>
      <c r="N586">
        <v>0</v>
      </c>
    </row>
    <row r="587" spans="1:16" x14ac:dyDescent="0.25">
      <c r="A587" t="str">
        <f>"583"</f>
        <v>583</v>
      </c>
      <c r="B587" t="str">
        <f t="shared" si="33"/>
        <v>102</v>
      </c>
      <c r="C587" t="str">
        <f t="shared" si="32"/>
        <v>24</v>
      </c>
      <c r="D587" t="str">
        <f>"25"</f>
        <v>25</v>
      </c>
      <c r="E587" t="str">
        <f>"102-24-25"</f>
        <v>102-24-25</v>
      </c>
      <c r="F587" t="s">
        <v>18</v>
      </c>
      <c r="G587" t="s">
        <v>20</v>
      </c>
      <c r="H587">
        <v>1</v>
      </c>
      <c r="K587">
        <v>1</v>
      </c>
      <c r="L587">
        <v>0</v>
      </c>
      <c r="M587">
        <v>1</v>
      </c>
      <c r="N587">
        <v>0</v>
      </c>
    </row>
    <row r="588" spans="1:16" x14ac:dyDescent="0.25">
      <c r="A588" t="str">
        <f>"584"</f>
        <v>584</v>
      </c>
      <c r="B588" t="str">
        <f t="shared" si="33"/>
        <v>102</v>
      </c>
      <c r="C588" t="str">
        <f t="shared" si="32"/>
        <v>24</v>
      </c>
      <c r="D588" t="str">
        <f>"13"</f>
        <v>13</v>
      </c>
      <c r="E588" t="str">
        <f>"102-24-13"</f>
        <v>102-24-13</v>
      </c>
      <c r="F588" t="s">
        <v>18</v>
      </c>
      <c r="G588" t="s">
        <v>20</v>
      </c>
      <c r="H588">
        <v>1</v>
      </c>
      <c r="K588">
        <v>0</v>
      </c>
      <c r="L588">
        <v>1</v>
      </c>
      <c r="M588">
        <v>0</v>
      </c>
      <c r="N588">
        <v>1</v>
      </c>
    </row>
    <row r="589" spans="1:16" x14ac:dyDescent="0.25">
      <c r="A589" t="str">
        <f>"585"</f>
        <v>585</v>
      </c>
      <c r="B589" t="str">
        <f t="shared" si="33"/>
        <v>102</v>
      </c>
      <c r="C589" t="str">
        <f t="shared" si="32"/>
        <v>24</v>
      </c>
      <c r="D589" t="str">
        <f>"3"</f>
        <v>3</v>
      </c>
      <c r="E589" t="str">
        <f>"102-24-3"</f>
        <v>102-24-3</v>
      </c>
      <c r="F589" t="s">
        <v>18</v>
      </c>
      <c r="G589" t="s">
        <v>20</v>
      </c>
      <c r="H589">
        <v>1</v>
      </c>
      <c r="K589">
        <v>1</v>
      </c>
      <c r="L589">
        <v>0</v>
      </c>
      <c r="M589">
        <v>1</v>
      </c>
      <c r="N589">
        <v>0</v>
      </c>
    </row>
    <row r="590" spans="1:16" x14ac:dyDescent="0.25">
      <c r="A590" t="str">
        <f>"586"</f>
        <v>586</v>
      </c>
      <c r="B590" t="str">
        <f t="shared" si="33"/>
        <v>102</v>
      </c>
      <c r="C590" t="str">
        <f t="shared" si="32"/>
        <v>24</v>
      </c>
      <c r="D590" t="str">
        <f>"24"</f>
        <v>24</v>
      </c>
      <c r="E590" t="str">
        <f>"102-24-24"</f>
        <v>102-24-24</v>
      </c>
      <c r="F590" t="s">
        <v>18</v>
      </c>
      <c r="G590" t="s">
        <v>20</v>
      </c>
      <c r="H590">
        <v>1</v>
      </c>
      <c r="K590">
        <v>1</v>
      </c>
      <c r="L590">
        <v>0</v>
      </c>
      <c r="M590">
        <v>1</v>
      </c>
      <c r="N590">
        <v>0</v>
      </c>
    </row>
    <row r="591" spans="1:16" x14ac:dyDescent="0.25">
      <c r="A591" t="str">
        <f>"587"</f>
        <v>587</v>
      </c>
      <c r="B591" t="str">
        <f t="shared" si="33"/>
        <v>102</v>
      </c>
      <c r="C591" t="str">
        <f t="shared" si="32"/>
        <v>24</v>
      </c>
      <c r="D591" t="str">
        <f>"14"</f>
        <v>14</v>
      </c>
      <c r="E591" t="str">
        <f>"102-24-14"</f>
        <v>102-24-14</v>
      </c>
      <c r="F591" t="s">
        <v>18</v>
      </c>
      <c r="G591" t="s">
        <v>20</v>
      </c>
      <c r="H591">
        <v>1</v>
      </c>
      <c r="K591">
        <v>0</v>
      </c>
      <c r="L591">
        <v>1</v>
      </c>
      <c r="M591">
        <v>0</v>
      </c>
      <c r="N591">
        <v>1</v>
      </c>
    </row>
    <row r="592" spans="1:16" x14ac:dyDescent="0.25">
      <c r="A592" t="str">
        <f>"588"</f>
        <v>588</v>
      </c>
      <c r="B592" t="str">
        <f t="shared" si="33"/>
        <v>102</v>
      </c>
      <c r="C592" t="str">
        <f t="shared" si="32"/>
        <v>24</v>
      </c>
      <c r="D592" t="str">
        <f>"5"</f>
        <v>5</v>
      </c>
      <c r="E592" t="str">
        <f>"102-24-5"</f>
        <v>102-24-5</v>
      </c>
      <c r="F592" t="s">
        <v>18</v>
      </c>
      <c r="G592" t="s">
        <v>20</v>
      </c>
      <c r="H592">
        <v>1</v>
      </c>
      <c r="K592">
        <v>0</v>
      </c>
      <c r="L592">
        <v>1</v>
      </c>
      <c r="M592">
        <v>1</v>
      </c>
      <c r="N592">
        <v>0</v>
      </c>
    </row>
    <row r="593" spans="1:14" x14ac:dyDescent="0.25">
      <c r="A593" t="str">
        <f>"589"</f>
        <v>589</v>
      </c>
      <c r="B593" t="str">
        <f t="shared" si="33"/>
        <v>102</v>
      </c>
      <c r="C593" t="str">
        <f t="shared" si="32"/>
        <v>24</v>
      </c>
      <c r="D593" t="str">
        <f>"15"</f>
        <v>15</v>
      </c>
      <c r="E593" t="str">
        <f>"102-24-15"</f>
        <v>102-24-15</v>
      </c>
      <c r="F593" t="s">
        <v>18</v>
      </c>
      <c r="G593" t="s">
        <v>20</v>
      </c>
      <c r="H593">
        <v>1</v>
      </c>
      <c r="K593">
        <v>1</v>
      </c>
      <c r="L593">
        <v>0</v>
      </c>
      <c r="M593">
        <v>0</v>
      </c>
      <c r="N593">
        <v>1</v>
      </c>
    </row>
    <row r="594" spans="1:14" x14ac:dyDescent="0.25">
      <c r="A594" t="str">
        <f>"590"</f>
        <v>590</v>
      </c>
      <c r="B594" t="str">
        <f t="shared" si="33"/>
        <v>102</v>
      </c>
      <c r="C594" t="str">
        <f t="shared" si="32"/>
        <v>24</v>
      </c>
      <c r="D594" t="str">
        <f>"9"</f>
        <v>9</v>
      </c>
      <c r="E594" t="str">
        <f>"102-24-9"</f>
        <v>102-24-9</v>
      </c>
      <c r="F594" t="s">
        <v>18</v>
      </c>
      <c r="G594" t="s">
        <v>20</v>
      </c>
      <c r="H594">
        <v>1</v>
      </c>
      <c r="K594">
        <v>0</v>
      </c>
      <c r="L594">
        <v>1</v>
      </c>
      <c r="M594">
        <v>0</v>
      </c>
      <c r="N594">
        <v>1</v>
      </c>
    </row>
    <row r="595" spans="1:14" x14ac:dyDescent="0.25">
      <c r="A595" t="str">
        <f>"591"</f>
        <v>591</v>
      </c>
      <c r="B595" t="str">
        <f t="shared" si="33"/>
        <v>102</v>
      </c>
      <c r="C595" t="str">
        <f t="shared" si="32"/>
        <v>24</v>
      </c>
      <c r="D595" t="str">
        <f>"16"</f>
        <v>16</v>
      </c>
      <c r="E595" t="str">
        <f>"102-24-16"</f>
        <v>102-24-16</v>
      </c>
      <c r="F595" t="s">
        <v>18</v>
      </c>
      <c r="G595" t="s">
        <v>20</v>
      </c>
      <c r="H595">
        <v>1</v>
      </c>
      <c r="K595">
        <v>0</v>
      </c>
      <c r="L595">
        <v>1</v>
      </c>
      <c r="M595">
        <v>0</v>
      </c>
      <c r="N595">
        <v>1</v>
      </c>
    </row>
    <row r="596" spans="1:14" x14ac:dyDescent="0.25">
      <c r="A596" t="str">
        <f>"592"</f>
        <v>592</v>
      </c>
      <c r="B596" t="str">
        <f t="shared" si="33"/>
        <v>102</v>
      </c>
      <c r="C596" t="str">
        <f t="shared" si="32"/>
        <v>24</v>
      </c>
      <c r="D596" t="str">
        <f>"10"</f>
        <v>10</v>
      </c>
      <c r="E596" t="str">
        <f>"102-24-10"</f>
        <v>102-24-10</v>
      </c>
      <c r="F596" t="s">
        <v>18</v>
      </c>
      <c r="G596" t="s">
        <v>20</v>
      </c>
      <c r="H596">
        <v>1</v>
      </c>
      <c r="K596">
        <v>1</v>
      </c>
      <c r="L596">
        <v>0</v>
      </c>
      <c r="M596">
        <v>0</v>
      </c>
      <c r="N596">
        <v>0</v>
      </c>
    </row>
    <row r="597" spans="1:14" x14ac:dyDescent="0.25">
      <c r="A597" t="str">
        <f>"593"</f>
        <v>593</v>
      </c>
      <c r="B597" t="str">
        <f t="shared" si="33"/>
        <v>102</v>
      </c>
      <c r="C597" t="str">
        <f t="shared" si="32"/>
        <v>24</v>
      </c>
      <c r="D597" t="str">
        <f>"17"</f>
        <v>17</v>
      </c>
      <c r="E597" t="str">
        <f>"102-24-17"</f>
        <v>102-24-17</v>
      </c>
      <c r="F597" t="s">
        <v>18</v>
      </c>
      <c r="G597" t="s">
        <v>20</v>
      </c>
      <c r="H597">
        <v>1</v>
      </c>
      <c r="K597">
        <v>0</v>
      </c>
      <c r="L597">
        <v>1</v>
      </c>
      <c r="M597">
        <v>0</v>
      </c>
      <c r="N597">
        <v>1</v>
      </c>
    </row>
    <row r="598" spans="1:14" x14ac:dyDescent="0.25">
      <c r="A598" t="str">
        <f>"594"</f>
        <v>594</v>
      </c>
      <c r="B598" t="str">
        <f t="shared" si="33"/>
        <v>102</v>
      </c>
      <c r="C598" t="str">
        <f t="shared" si="32"/>
        <v>24</v>
      </c>
      <c r="D598" t="str">
        <f>"6"</f>
        <v>6</v>
      </c>
      <c r="E598" t="str">
        <f>"102-24-6"</f>
        <v>102-24-6</v>
      </c>
      <c r="F598" t="s">
        <v>18</v>
      </c>
      <c r="G598" t="s">
        <v>20</v>
      </c>
      <c r="H598">
        <v>1</v>
      </c>
      <c r="K598">
        <v>1</v>
      </c>
      <c r="L598">
        <v>0</v>
      </c>
      <c r="M598">
        <v>1</v>
      </c>
      <c r="N598">
        <v>0</v>
      </c>
    </row>
    <row r="599" spans="1:14" x14ac:dyDescent="0.25">
      <c r="A599" t="str">
        <f>"595"</f>
        <v>595</v>
      </c>
      <c r="B599" t="str">
        <f t="shared" si="33"/>
        <v>102</v>
      </c>
      <c r="C599" t="str">
        <f t="shared" si="32"/>
        <v>24</v>
      </c>
      <c r="D599" t="str">
        <f>"18"</f>
        <v>18</v>
      </c>
      <c r="E599" t="str">
        <f>"102-24-18"</f>
        <v>102-24-18</v>
      </c>
      <c r="F599" t="s">
        <v>18</v>
      </c>
      <c r="G599" t="s">
        <v>20</v>
      </c>
      <c r="H599">
        <v>1</v>
      </c>
      <c r="K599">
        <v>0</v>
      </c>
      <c r="L599">
        <v>1</v>
      </c>
      <c r="M599">
        <v>0</v>
      </c>
      <c r="N599">
        <v>1</v>
      </c>
    </row>
    <row r="600" spans="1:14" x14ac:dyDescent="0.25">
      <c r="A600" t="str">
        <f>"596"</f>
        <v>596</v>
      </c>
      <c r="B600" t="str">
        <f t="shared" si="33"/>
        <v>102</v>
      </c>
      <c r="C600" t="str">
        <f t="shared" si="32"/>
        <v>24</v>
      </c>
      <c r="D600" t="str">
        <f>"7"</f>
        <v>7</v>
      </c>
      <c r="E600" t="str">
        <f>"102-24-7"</f>
        <v>102-24-7</v>
      </c>
      <c r="F600" t="s">
        <v>18</v>
      </c>
      <c r="G600" t="s">
        <v>20</v>
      </c>
      <c r="H600">
        <v>1</v>
      </c>
      <c r="K600">
        <v>1</v>
      </c>
      <c r="L600">
        <v>0</v>
      </c>
      <c r="M600">
        <v>1</v>
      </c>
      <c r="N600">
        <v>0</v>
      </c>
    </row>
    <row r="601" spans="1:14" x14ac:dyDescent="0.25">
      <c r="A601" t="str">
        <f>"597"</f>
        <v>597</v>
      </c>
      <c r="B601" t="str">
        <f t="shared" si="33"/>
        <v>102</v>
      </c>
      <c r="C601" t="str">
        <f t="shared" si="32"/>
        <v>24</v>
      </c>
      <c r="D601" t="str">
        <f>"19"</f>
        <v>19</v>
      </c>
      <c r="E601" t="str">
        <f>"102-24-19"</f>
        <v>102-24-19</v>
      </c>
      <c r="F601" t="s">
        <v>18</v>
      </c>
      <c r="G601" t="s">
        <v>20</v>
      </c>
      <c r="H601">
        <v>1</v>
      </c>
      <c r="K601">
        <v>0</v>
      </c>
      <c r="L601">
        <v>1</v>
      </c>
      <c r="M601">
        <v>0</v>
      </c>
      <c r="N601">
        <v>1</v>
      </c>
    </row>
    <row r="602" spans="1:14" x14ac:dyDescent="0.25">
      <c r="A602" t="str">
        <f>"598"</f>
        <v>598</v>
      </c>
      <c r="B602" t="str">
        <f t="shared" si="33"/>
        <v>102</v>
      </c>
      <c r="C602" t="str">
        <f t="shared" si="32"/>
        <v>24</v>
      </c>
      <c r="D602" t="str">
        <f>"8"</f>
        <v>8</v>
      </c>
      <c r="E602" t="str">
        <f>"102-24-8"</f>
        <v>102-24-8</v>
      </c>
      <c r="F602" t="s">
        <v>18</v>
      </c>
      <c r="G602" t="s">
        <v>20</v>
      </c>
      <c r="H602">
        <v>1</v>
      </c>
      <c r="K602">
        <v>0</v>
      </c>
      <c r="L602">
        <v>1</v>
      </c>
      <c r="M602">
        <v>0</v>
      </c>
      <c r="N602">
        <v>1</v>
      </c>
    </row>
    <row r="603" spans="1:14" x14ac:dyDescent="0.25">
      <c r="A603" t="str">
        <f>"599"</f>
        <v>599</v>
      </c>
      <c r="B603" t="str">
        <f t="shared" si="33"/>
        <v>102</v>
      </c>
      <c r="C603" t="str">
        <f t="shared" si="32"/>
        <v>24</v>
      </c>
      <c r="D603" t="str">
        <f>"20"</f>
        <v>20</v>
      </c>
      <c r="E603" t="str">
        <f>"102-24-20"</f>
        <v>102-24-20</v>
      </c>
      <c r="F603" t="s">
        <v>18</v>
      </c>
      <c r="G603" t="s">
        <v>20</v>
      </c>
      <c r="H603">
        <v>1</v>
      </c>
      <c r="K603">
        <v>0</v>
      </c>
      <c r="L603">
        <v>1</v>
      </c>
      <c r="M603">
        <v>0</v>
      </c>
      <c r="N603">
        <v>1</v>
      </c>
    </row>
    <row r="604" spans="1:14" x14ac:dyDescent="0.25">
      <c r="A604" t="str">
        <f>"600"</f>
        <v>600</v>
      </c>
      <c r="B604" t="str">
        <f t="shared" si="33"/>
        <v>102</v>
      </c>
      <c r="C604" t="str">
        <f t="shared" si="32"/>
        <v>24</v>
      </c>
      <c r="D604" t="str">
        <f>"4"</f>
        <v>4</v>
      </c>
      <c r="E604" t="str">
        <f>"102-24-4"</f>
        <v>102-24-4</v>
      </c>
      <c r="F604" t="s">
        <v>18</v>
      </c>
      <c r="G604" t="s">
        <v>20</v>
      </c>
      <c r="H604">
        <v>1</v>
      </c>
      <c r="K604">
        <v>1</v>
      </c>
      <c r="L604">
        <v>0</v>
      </c>
      <c r="M604">
        <v>1</v>
      </c>
      <c r="N604">
        <v>0</v>
      </c>
    </row>
    <row r="605" spans="1:14" x14ac:dyDescent="0.25">
      <c r="A605" t="str">
        <f>"601"</f>
        <v>601</v>
      </c>
      <c r="B605" t="str">
        <f t="shared" si="33"/>
        <v>102</v>
      </c>
      <c r="C605" t="str">
        <f>"25"</f>
        <v>25</v>
      </c>
      <c r="D605" t="str">
        <f>"25"</f>
        <v>25</v>
      </c>
      <c r="E605" t="str">
        <f>"102-25-25"</f>
        <v>102-25-25</v>
      </c>
      <c r="F605" t="s">
        <v>18</v>
      </c>
      <c r="G605" t="s">
        <v>20</v>
      </c>
      <c r="H605">
        <v>1</v>
      </c>
      <c r="K605">
        <v>1</v>
      </c>
      <c r="L605">
        <v>0</v>
      </c>
      <c r="M605">
        <v>1</v>
      </c>
      <c r="N605">
        <v>0</v>
      </c>
    </row>
    <row r="606" spans="1:14" x14ac:dyDescent="0.25">
      <c r="A606" t="str">
        <f>"602"</f>
        <v>602</v>
      </c>
      <c r="B606" t="str">
        <f t="shared" si="33"/>
        <v>102</v>
      </c>
      <c r="C606" t="str">
        <f t="shared" ref="C606:C629" si="34">"25"</f>
        <v>25</v>
      </c>
      <c r="D606" t="str">
        <f>"20"</f>
        <v>20</v>
      </c>
      <c r="E606" t="str">
        <f>"102-25-20"</f>
        <v>102-25-20</v>
      </c>
      <c r="F606" t="s">
        <v>18</v>
      </c>
      <c r="G606" t="s">
        <v>20</v>
      </c>
      <c r="H606">
        <v>1</v>
      </c>
      <c r="K606">
        <v>0</v>
      </c>
      <c r="L606">
        <v>1</v>
      </c>
      <c r="M606">
        <v>0</v>
      </c>
      <c r="N606">
        <v>1</v>
      </c>
    </row>
    <row r="607" spans="1:14" x14ac:dyDescent="0.25">
      <c r="A607" t="str">
        <f>"603"</f>
        <v>603</v>
      </c>
      <c r="B607" t="str">
        <f t="shared" si="33"/>
        <v>102</v>
      </c>
      <c r="C607" t="str">
        <f t="shared" si="34"/>
        <v>25</v>
      </c>
      <c r="D607" t="str">
        <f>"11"</f>
        <v>11</v>
      </c>
      <c r="E607" t="str">
        <f>"102-25-11"</f>
        <v>102-25-11</v>
      </c>
      <c r="F607" t="s">
        <v>18</v>
      </c>
      <c r="G607" t="s">
        <v>20</v>
      </c>
      <c r="H607">
        <v>1</v>
      </c>
      <c r="K607">
        <v>0</v>
      </c>
      <c r="L607">
        <v>1</v>
      </c>
      <c r="M607">
        <v>0</v>
      </c>
      <c r="N607">
        <v>1</v>
      </c>
    </row>
    <row r="608" spans="1:14" x14ac:dyDescent="0.25">
      <c r="A608" t="str">
        <f>"604"</f>
        <v>604</v>
      </c>
      <c r="B608" t="str">
        <f t="shared" si="33"/>
        <v>102</v>
      </c>
      <c r="C608" t="str">
        <f t="shared" si="34"/>
        <v>25</v>
      </c>
      <c r="D608" t="str">
        <f>"1"</f>
        <v>1</v>
      </c>
      <c r="E608" t="str">
        <f>"102-25-1"</f>
        <v>102-25-1</v>
      </c>
      <c r="F608" t="s">
        <v>18</v>
      </c>
      <c r="G608" t="s">
        <v>20</v>
      </c>
      <c r="H608">
        <v>1</v>
      </c>
      <c r="K608">
        <v>0</v>
      </c>
      <c r="L608">
        <v>1</v>
      </c>
      <c r="M608">
        <v>0</v>
      </c>
      <c r="N608">
        <v>1</v>
      </c>
    </row>
    <row r="609" spans="1:16" x14ac:dyDescent="0.25">
      <c r="A609" t="str">
        <f>"605"</f>
        <v>605</v>
      </c>
      <c r="B609" t="str">
        <f t="shared" si="33"/>
        <v>102</v>
      </c>
      <c r="C609" t="str">
        <f t="shared" si="34"/>
        <v>25</v>
      </c>
      <c r="D609" t="str">
        <f>"23"</f>
        <v>23</v>
      </c>
      <c r="E609" t="str">
        <f>"102-25-23"</f>
        <v>102-25-23</v>
      </c>
      <c r="F609" t="s">
        <v>18</v>
      </c>
      <c r="G609" t="s">
        <v>19</v>
      </c>
      <c r="H609">
        <v>2</v>
      </c>
      <c r="I609">
        <v>0</v>
      </c>
      <c r="J609">
        <v>0</v>
      </c>
      <c r="K609">
        <v>0</v>
      </c>
      <c r="L609">
        <v>1</v>
      </c>
      <c r="M609">
        <v>0</v>
      </c>
      <c r="N609">
        <v>1</v>
      </c>
      <c r="O609">
        <v>1</v>
      </c>
      <c r="P609">
        <v>0</v>
      </c>
    </row>
    <row r="610" spans="1:16" x14ac:dyDescent="0.25">
      <c r="A610" t="str">
        <f>"606"</f>
        <v>606</v>
      </c>
      <c r="B610" t="str">
        <f t="shared" si="33"/>
        <v>102</v>
      </c>
      <c r="C610" t="str">
        <f t="shared" si="34"/>
        <v>25</v>
      </c>
      <c r="D610" t="str">
        <f>"12"</f>
        <v>12</v>
      </c>
      <c r="E610" t="str">
        <f>"102-25-12"</f>
        <v>102-25-12</v>
      </c>
      <c r="F610" t="s">
        <v>18</v>
      </c>
      <c r="G610" t="s">
        <v>20</v>
      </c>
      <c r="H610">
        <v>1</v>
      </c>
      <c r="K610">
        <v>0</v>
      </c>
      <c r="L610">
        <v>1</v>
      </c>
      <c r="M610">
        <v>0</v>
      </c>
      <c r="N610">
        <v>1</v>
      </c>
    </row>
    <row r="611" spans="1:16" x14ac:dyDescent="0.25">
      <c r="A611" t="str">
        <f>"607"</f>
        <v>607</v>
      </c>
      <c r="B611" t="str">
        <f t="shared" si="33"/>
        <v>102</v>
      </c>
      <c r="C611" t="str">
        <f t="shared" si="34"/>
        <v>25</v>
      </c>
      <c r="D611" t="str">
        <f>"3"</f>
        <v>3</v>
      </c>
      <c r="E611" t="str">
        <f>"102-25-3"</f>
        <v>102-25-3</v>
      </c>
      <c r="F611" t="s">
        <v>18</v>
      </c>
      <c r="G611" t="s">
        <v>20</v>
      </c>
      <c r="H611">
        <v>1</v>
      </c>
      <c r="K611">
        <v>0</v>
      </c>
      <c r="L611">
        <v>1</v>
      </c>
      <c r="M611">
        <v>0</v>
      </c>
      <c r="N611">
        <v>1</v>
      </c>
    </row>
    <row r="612" spans="1:16" x14ac:dyDescent="0.25">
      <c r="A612" t="str">
        <f>"608"</f>
        <v>608</v>
      </c>
      <c r="B612" t="str">
        <f t="shared" si="33"/>
        <v>102</v>
      </c>
      <c r="C612" t="str">
        <f t="shared" si="34"/>
        <v>25</v>
      </c>
      <c r="D612" t="str">
        <f>"24"</f>
        <v>24</v>
      </c>
      <c r="E612" t="str">
        <f>"102-25-24"</f>
        <v>102-25-24</v>
      </c>
      <c r="F612" t="s">
        <v>18</v>
      </c>
      <c r="G612" t="s">
        <v>20</v>
      </c>
      <c r="H612">
        <v>1</v>
      </c>
      <c r="K612">
        <v>1</v>
      </c>
      <c r="L612">
        <v>0</v>
      </c>
      <c r="M612">
        <v>1</v>
      </c>
      <c r="N612">
        <v>0</v>
      </c>
    </row>
    <row r="613" spans="1:16" x14ac:dyDescent="0.25">
      <c r="A613" t="str">
        <f>"609"</f>
        <v>609</v>
      </c>
      <c r="B613" t="str">
        <f t="shared" si="33"/>
        <v>102</v>
      </c>
      <c r="C613" t="str">
        <f t="shared" si="34"/>
        <v>25</v>
      </c>
      <c r="D613" t="str">
        <f>"13"</f>
        <v>13</v>
      </c>
      <c r="E613" t="str">
        <f>"102-25-13"</f>
        <v>102-25-13</v>
      </c>
      <c r="F613" t="s">
        <v>18</v>
      </c>
      <c r="G613" t="s">
        <v>20</v>
      </c>
      <c r="H613">
        <v>1</v>
      </c>
      <c r="K613">
        <v>1</v>
      </c>
      <c r="L613">
        <v>0</v>
      </c>
      <c r="M613">
        <v>1</v>
      </c>
      <c r="N613">
        <v>0</v>
      </c>
    </row>
    <row r="614" spans="1:16" x14ac:dyDescent="0.25">
      <c r="A614" t="str">
        <f>"610"</f>
        <v>610</v>
      </c>
      <c r="B614" t="str">
        <f t="shared" si="33"/>
        <v>102</v>
      </c>
      <c r="C614" t="str">
        <f t="shared" si="34"/>
        <v>25</v>
      </c>
      <c r="D614" t="str">
        <f>"7"</f>
        <v>7</v>
      </c>
      <c r="E614" t="str">
        <f>"102-25-7"</f>
        <v>102-25-7</v>
      </c>
      <c r="F614" t="s">
        <v>18</v>
      </c>
      <c r="G614" t="s">
        <v>20</v>
      </c>
      <c r="H614">
        <v>1</v>
      </c>
      <c r="K614">
        <v>0</v>
      </c>
      <c r="L614">
        <v>1</v>
      </c>
      <c r="M614">
        <v>0</v>
      </c>
      <c r="N614">
        <v>1</v>
      </c>
    </row>
    <row r="615" spans="1:16" x14ac:dyDescent="0.25">
      <c r="A615" t="str">
        <f>"611"</f>
        <v>611</v>
      </c>
      <c r="B615" t="str">
        <f t="shared" si="33"/>
        <v>102</v>
      </c>
      <c r="C615" t="str">
        <f t="shared" si="34"/>
        <v>25</v>
      </c>
      <c r="D615" t="str">
        <f>"14"</f>
        <v>14</v>
      </c>
      <c r="E615" t="str">
        <f>"102-25-14"</f>
        <v>102-25-14</v>
      </c>
      <c r="F615" t="s">
        <v>18</v>
      </c>
      <c r="G615" t="s">
        <v>20</v>
      </c>
      <c r="H615">
        <v>1</v>
      </c>
      <c r="K615">
        <v>0</v>
      </c>
      <c r="L615">
        <v>1</v>
      </c>
      <c r="M615">
        <v>0</v>
      </c>
      <c r="N615">
        <v>1</v>
      </c>
    </row>
    <row r="616" spans="1:16" x14ac:dyDescent="0.25">
      <c r="A616" t="str">
        <f>"612"</f>
        <v>612</v>
      </c>
      <c r="B616" t="str">
        <f t="shared" si="33"/>
        <v>102</v>
      </c>
      <c r="C616" t="str">
        <f t="shared" si="34"/>
        <v>25</v>
      </c>
      <c r="D616" t="str">
        <f>"4"</f>
        <v>4</v>
      </c>
      <c r="E616" t="str">
        <f>"102-25-4"</f>
        <v>102-25-4</v>
      </c>
      <c r="F616" t="s">
        <v>18</v>
      </c>
      <c r="G616" t="s">
        <v>20</v>
      </c>
      <c r="H616">
        <v>1</v>
      </c>
      <c r="K616">
        <v>1</v>
      </c>
      <c r="L616">
        <v>0</v>
      </c>
      <c r="M616">
        <v>1</v>
      </c>
      <c r="N616">
        <v>0</v>
      </c>
    </row>
    <row r="617" spans="1:16" x14ac:dyDescent="0.25">
      <c r="A617" t="str">
        <f>"613"</f>
        <v>613</v>
      </c>
      <c r="B617" t="str">
        <f t="shared" si="33"/>
        <v>102</v>
      </c>
      <c r="C617" t="str">
        <f t="shared" si="34"/>
        <v>25</v>
      </c>
      <c r="D617" t="str">
        <f>"15"</f>
        <v>15</v>
      </c>
      <c r="E617" t="str">
        <f>"102-25-15"</f>
        <v>102-25-15</v>
      </c>
      <c r="F617" t="s">
        <v>18</v>
      </c>
      <c r="G617" t="s">
        <v>20</v>
      </c>
      <c r="H617">
        <v>1</v>
      </c>
      <c r="K617">
        <v>0</v>
      </c>
      <c r="L617">
        <v>1</v>
      </c>
      <c r="M617">
        <v>0</v>
      </c>
      <c r="N617">
        <v>1</v>
      </c>
    </row>
    <row r="618" spans="1:16" x14ac:dyDescent="0.25">
      <c r="A618" t="str">
        <f>"614"</f>
        <v>614</v>
      </c>
      <c r="B618" t="str">
        <f t="shared" si="33"/>
        <v>102</v>
      </c>
      <c r="C618" t="str">
        <f t="shared" si="34"/>
        <v>25</v>
      </c>
      <c r="D618" t="str">
        <f>"2"</f>
        <v>2</v>
      </c>
      <c r="E618" t="str">
        <f>"102-25-2"</f>
        <v>102-25-2</v>
      </c>
      <c r="F618" t="s">
        <v>18</v>
      </c>
      <c r="G618" t="s">
        <v>20</v>
      </c>
      <c r="H618">
        <v>1</v>
      </c>
      <c r="K618">
        <v>0</v>
      </c>
      <c r="L618">
        <v>1</v>
      </c>
      <c r="M618">
        <v>0</v>
      </c>
      <c r="N618">
        <v>1</v>
      </c>
    </row>
    <row r="619" spans="1:16" x14ac:dyDescent="0.25">
      <c r="A619" t="str">
        <f>"615"</f>
        <v>615</v>
      </c>
      <c r="B619" t="str">
        <f t="shared" si="33"/>
        <v>102</v>
      </c>
      <c r="C619" t="str">
        <f t="shared" si="34"/>
        <v>25</v>
      </c>
      <c r="D619" t="str">
        <f>"22"</f>
        <v>22</v>
      </c>
      <c r="E619" t="str">
        <f>"102-25-22"</f>
        <v>102-25-22</v>
      </c>
      <c r="F619" t="s">
        <v>18</v>
      </c>
      <c r="G619" t="s">
        <v>19</v>
      </c>
      <c r="H619">
        <v>2</v>
      </c>
      <c r="I619">
        <v>0</v>
      </c>
      <c r="J619">
        <v>0</v>
      </c>
      <c r="K619">
        <v>0</v>
      </c>
      <c r="L619">
        <v>1</v>
      </c>
      <c r="M619">
        <v>0</v>
      </c>
      <c r="N619">
        <v>1</v>
      </c>
      <c r="O619">
        <v>1</v>
      </c>
      <c r="P619">
        <v>0</v>
      </c>
    </row>
    <row r="620" spans="1:16" x14ac:dyDescent="0.25">
      <c r="A620" t="str">
        <f>"616"</f>
        <v>616</v>
      </c>
      <c r="B620" t="str">
        <f t="shared" si="33"/>
        <v>102</v>
      </c>
      <c r="C620" t="str">
        <f t="shared" si="34"/>
        <v>25</v>
      </c>
      <c r="D620" t="str">
        <f>"16"</f>
        <v>16</v>
      </c>
      <c r="E620" t="str">
        <f>"102-25-16"</f>
        <v>102-25-16</v>
      </c>
      <c r="F620" t="s">
        <v>18</v>
      </c>
      <c r="G620" t="s">
        <v>20</v>
      </c>
      <c r="H620">
        <v>1</v>
      </c>
      <c r="K620">
        <v>1</v>
      </c>
      <c r="L620">
        <v>0</v>
      </c>
      <c r="M620">
        <v>0</v>
      </c>
      <c r="N620">
        <v>1</v>
      </c>
    </row>
    <row r="621" spans="1:16" x14ac:dyDescent="0.25">
      <c r="A621" t="str">
        <f>"617"</f>
        <v>617</v>
      </c>
      <c r="B621" t="str">
        <f t="shared" si="33"/>
        <v>102</v>
      </c>
      <c r="C621" t="str">
        <f t="shared" si="34"/>
        <v>25</v>
      </c>
      <c r="D621" t="str">
        <f>"9"</f>
        <v>9</v>
      </c>
      <c r="E621" t="str">
        <f>"102-25-9"</f>
        <v>102-25-9</v>
      </c>
      <c r="F621" t="s">
        <v>18</v>
      </c>
      <c r="G621" t="s">
        <v>20</v>
      </c>
      <c r="H621">
        <v>1</v>
      </c>
      <c r="K621">
        <v>0</v>
      </c>
      <c r="L621">
        <v>1</v>
      </c>
      <c r="M621">
        <v>0</v>
      </c>
      <c r="N621">
        <v>1</v>
      </c>
    </row>
    <row r="622" spans="1:16" x14ac:dyDescent="0.25">
      <c r="A622" t="str">
        <f>"618"</f>
        <v>618</v>
      </c>
      <c r="B622" t="str">
        <f t="shared" si="33"/>
        <v>102</v>
      </c>
      <c r="C622" t="str">
        <f t="shared" si="34"/>
        <v>25</v>
      </c>
      <c r="D622" t="str">
        <f>"17"</f>
        <v>17</v>
      </c>
      <c r="E622" t="str">
        <f>"102-25-17"</f>
        <v>102-25-17</v>
      </c>
      <c r="F622" t="s">
        <v>18</v>
      </c>
      <c r="G622" t="s">
        <v>20</v>
      </c>
      <c r="H622">
        <v>1</v>
      </c>
      <c r="K622">
        <v>1</v>
      </c>
      <c r="L622">
        <v>0</v>
      </c>
      <c r="M622">
        <v>0</v>
      </c>
      <c r="N622">
        <v>1</v>
      </c>
    </row>
    <row r="623" spans="1:16" x14ac:dyDescent="0.25">
      <c r="A623" t="str">
        <f>"619"</f>
        <v>619</v>
      </c>
      <c r="B623" t="str">
        <f t="shared" si="33"/>
        <v>102</v>
      </c>
      <c r="C623" t="str">
        <f t="shared" si="34"/>
        <v>25</v>
      </c>
      <c r="D623" t="str">
        <f>"8"</f>
        <v>8</v>
      </c>
      <c r="E623" t="str">
        <f>"102-25-8"</f>
        <v>102-25-8</v>
      </c>
      <c r="F623" t="s">
        <v>18</v>
      </c>
      <c r="G623" t="s">
        <v>20</v>
      </c>
      <c r="H623">
        <v>1</v>
      </c>
      <c r="K623">
        <v>0</v>
      </c>
      <c r="L623">
        <v>1</v>
      </c>
      <c r="M623">
        <v>0</v>
      </c>
      <c r="N623">
        <v>1</v>
      </c>
    </row>
    <row r="624" spans="1:16" x14ac:dyDescent="0.25">
      <c r="A624" t="str">
        <f>"620"</f>
        <v>620</v>
      </c>
      <c r="B624" t="str">
        <f t="shared" si="33"/>
        <v>102</v>
      </c>
      <c r="C624" t="str">
        <f t="shared" si="34"/>
        <v>25</v>
      </c>
      <c r="D624" t="str">
        <f>"18"</f>
        <v>18</v>
      </c>
      <c r="E624" t="str">
        <f>"102-25-18"</f>
        <v>102-25-18</v>
      </c>
      <c r="F624" t="s">
        <v>18</v>
      </c>
      <c r="G624" t="s">
        <v>20</v>
      </c>
      <c r="H624">
        <v>1</v>
      </c>
      <c r="K624">
        <v>0</v>
      </c>
      <c r="L624">
        <v>1</v>
      </c>
      <c r="M624">
        <v>0</v>
      </c>
      <c r="N624">
        <v>1</v>
      </c>
    </row>
    <row r="625" spans="1:16" x14ac:dyDescent="0.25">
      <c r="A625" t="str">
        <f>"621"</f>
        <v>621</v>
      </c>
      <c r="B625" t="str">
        <f t="shared" si="33"/>
        <v>102</v>
      </c>
      <c r="C625" t="str">
        <f t="shared" si="34"/>
        <v>25</v>
      </c>
      <c r="D625" t="str">
        <f>"6"</f>
        <v>6</v>
      </c>
      <c r="E625" t="str">
        <f>"102-25-6"</f>
        <v>102-25-6</v>
      </c>
      <c r="F625" t="s">
        <v>18</v>
      </c>
      <c r="G625" t="s">
        <v>20</v>
      </c>
      <c r="H625">
        <v>1</v>
      </c>
      <c r="K625">
        <v>0</v>
      </c>
      <c r="L625">
        <v>1</v>
      </c>
      <c r="M625">
        <v>0</v>
      </c>
      <c r="N625">
        <v>1</v>
      </c>
    </row>
    <row r="626" spans="1:16" x14ac:dyDescent="0.25">
      <c r="A626" t="str">
        <f>"622"</f>
        <v>622</v>
      </c>
      <c r="B626" t="str">
        <f t="shared" si="33"/>
        <v>102</v>
      </c>
      <c r="C626" t="str">
        <f t="shared" si="34"/>
        <v>25</v>
      </c>
      <c r="D626" t="str">
        <f>"19"</f>
        <v>19</v>
      </c>
      <c r="E626" t="str">
        <f>"102-25-19"</f>
        <v>102-25-19</v>
      </c>
      <c r="F626" t="s">
        <v>18</v>
      </c>
      <c r="G626" t="s">
        <v>20</v>
      </c>
      <c r="H626">
        <v>1</v>
      </c>
      <c r="K626">
        <v>0</v>
      </c>
      <c r="L626">
        <v>1</v>
      </c>
      <c r="M626">
        <v>0</v>
      </c>
      <c r="N626">
        <v>1</v>
      </c>
    </row>
    <row r="627" spans="1:16" x14ac:dyDescent="0.25">
      <c r="A627" t="str">
        <f>"623"</f>
        <v>623</v>
      </c>
      <c r="B627" t="str">
        <f t="shared" si="33"/>
        <v>102</v>
      </c>
      <c r="C627" t="str">
        <f t="shared" si="34"/>
        <v>25</v>
      </c>
      <c r="D627" t="str">
        <f>"5"</f>
        <v>5</v>
      </c>
      <c r="E627" t="str">
        <f>"102-25-5"</f>
        <v>102-25-5</v>
      </c>
      <c r="F627" t="s">
        <v>18</v>
      </c>
      <c r="G627" t="s">
        <v>20</v>
      </c>
      <c r="H627">
        <v>1</v>
      </c>
      <c r="K627">
        <v>0</v>
      </c>
      <c r="L627">
        <v>1</v>
      </c>
      <c r="M627">
        <v>0</v>
      </c>
      <c r="N627">
        <v>1</v>
      </c>
    </row>
    <row r="628" spans="1:16" x14ac:dyDescent="0.25">
      <c r="A628" t="str">
        <f>"624"</f>
        <v>624</v>
      </c>
      <c r="B628" t="str">
        <f t="shared" si="33"/>
        <v>102</v>
      </c>
      <c r="C628" t="str">
        <f t="shared" si="34"/>
        <v>25</v>
      </c>
      <c r="D628" t="str">
        <f>"21"</f>
        <v>21</v>
      </c>
      <c r="E628" t="str">
        <f>"102-25-21"</f>
        <v>102-25-21</v>
      </c>
      <c r="F628" t="s">
        <v>18</v>
      </c>
      <c r="G628" t="s">
        <v>20</v>
      </c>
      <c r="H628">
        <v>1</v>
      </c>
      <c r="K628">
        <v>0</v>
      </c>
      <c r="L628">
        <v>1</v>
      </c>
      <c r="M628">
        <v>0</v>
      </c>
      <c r="N628">
        <v>1</v>
      </c>
    </row>
    <row r="629" spans="1:16" x14ac:dyDescent="0.25">
      <c r="A629" t="str">
        <f>"625"</f>
        <v>625</v>
      </c>
      <c r="B629" t="str">
        <f t="shared" si="33"/>
        <v>102</v>
      </c>
      <c r="C629" t="str">
        <f t="shared" si="34"/>
        <v>25</v>
      </c>
      <c r="D629" t="str">
        <f>"10"</f>
        <v>10</v>
      </c>
      <c r="E629" t="str">
        <f>"102-25-10"</f>
        <v>102-25-10</v>
      </c>
      <c r="F629" t="s">
        <v>18</v>
      </c>
      <c r="G629" t="s">
        <v>20</v>
      </c>
      <c r="H629">
        <v>1</v>
      </c>
      <c r="K629">
        <v>0</v>
      </c>
      <c r="L629">
        <v>1</v>
      </c>
      <c r="M629">
        <v>0</v>
      </c>
      <c r="N629">
        <v>1</v>
      </c>
    </row>
    <row r="630" spans="1:16" x14ac:dyDescent="0.25">
      <c r="A630" t="str">
        <f>"626"</f>
        <v>626</v>
      </c>
      <c r="B630" t="str">
        <f t="shared" si="33"/>
        <v>102</v>
      </c>
      <c r="C630" t="str">
        <f t="shared" ref="C630:C654" si="35">"26"</f>
        <v>26</v>
      </c>
      <c r="D630" t="str">
        <f>"23"</f>
        <v>23</v>
      </c>
      <c r="E630" t="str">
        <f>"102-26-23"</f>
        <v>102-26-23</v>
      </c>
      <c r="F630" t="s">
        <v>18</v>
      </c>
      <c r="G630" t="s">
        <v>20</v>
      </c>
      <c r="H630">
        <v>1</v>
      </c>
      <c r="K630">
        <v>0</v>
      </c>
      <c r="L630">
        <v>1</v>
      </c>
      <c r="M630">
        <v>0</v>
      </c>
      <c r="N630">
        <v>1</v>
      </c>
    </row>
    <row r="631" spans="1:16" x14ac:dyDescent="0.25">
      <c r="A631" t="str">
        <f>"627"</f>
        <v>627</v>
      </c>
      <c r="B631" t="str">
        <f t="shared" si="33"/>
        <v>102</v>
      </c>
      <c r="C631" t="str">
        <f t="shared" si="35"/>
        <v>26</v>
      </c>
      <c r="D631" t="str">
        <f>"11"</f>
        <v>11</v>
      </c>
      <c r="E631" t="str">
        <f>"102-26-11"</f>
        <v>102-26-11</v>
      </c>
      <c r="F631" t="s">
        <v>18</v>
      </c>
      <c r="G631" t="s">
        <v>20</v>
      </c>
      <c r="H631">
        <v>1</v>
      </c>
      <c r="K631">
        <v>0</v>
      </c>
      <c r="L631">
        <v>1</v>
      </c>
      <c r="M631">
        <v>0</v>
      </c>
      <c r="N631">
        <v>1</v>
      </c>
    </row>
    <row r="632" spans="1:16" x14ac:dyDescent="0.25">
      <c r="A632" t="str">
        <f>"628"</f>
        <v>628</v>
      </c>
      <c r="B632" t="str">
        <f t="shared" si="33"/>
        <v>102</v>
      </c>
      <c r="C632" t="str">
        <f t="shared" si="35"/>
        <v>26</v>
      </c>
      <c r="D632" t="str">
        <f>"10"</f>
        <v>10</v>
      </c>
      <c r="E632" t="str">
        <f>"102-26-10"</f>
        <v>102-26-10</v>
      </c>
      <c r="F632" t="s">
        <v>18</v>
      </c>
      <c r="G632" t="s">
        <v>20</v>
      </c>
      <c r="H632">
        <v>1</v>
      </c>
      <c r="K632">
        <v>0</v>
      </c>
      <c r="L632">
        <v>1</v>
      </c>
      <c r="M632">
        <v>0</v>
      </c>
      <c r="N632">
        <v>1</v>
      </c>
    </row>
    <row r="633" spans="1:16" x14ac:dyDescent="0.25">
      <c r="A633" t="str">
        <f>"629"</f>
        <v>629</v>
      </c>
      <c r="B633" t="str">
        <f t="shared" si="33"/>
        <v>102</v>
      </c>
      <c r="C633" t="str">
        <f t="shared" si="35"/>
        <v>26</v>
      </c>
      <c r="D633" t="str">
        <f>"25"</f>
        <v>25</v>
      </c>
      <c r="E633" t="str">
        <f>"102-26-25"</f>
        <v>102-26-25</v>
      </c>
      <c r="F633" t="s">
        <v>18</v>
      </c>
      <c r="G633" t="s">
        <v>19</v>
      </c>
      <c r="H633">
        <v>2</v>
      </c>
      <c r="I633">
        <v>1</v>
      </c>
      <c r="J633">
        <v>1</v>
      </c>
      <c r="K633">
        <v>1</v>
      </c>
      <c r="L633">
        <v>0</v>
      </c>
      <c r="M633">
        <v>1</v>
      </c>
      <c r="N633">
        <v>0</v>
      </c>
      <c r="O633">
        <v>1</v>
      </c>
      <c r="P633">
        <v>0</v>
      </c>
    </row>
    <row r="634" spans="1:16" x14ac:dyDescent="0.25">
      <c r="A634" t="str">
        <f>"630"</f>
        <v>630</v>
      </c>
      <c r="B634" t="str">
        <f t="shared" si="33"/>
        <v>102</v>
      </c>
      <c r="C634" t="str">
        <f t="shared" si="35"/>
        <v>26</v>
      </c>
      <c r="D634" t="str">
        <f>"24"</f>
        <v>24</v>
      </c>
      <c r="E634" t="str">
        <f>"102-26-24"</f>
        <v>102-26-24</v>
      </c>
      <c r="F634" t="s">
        <v>18</v>
      </c>
      <c r="G634" t="s">
        <v>19</v>
      </c>
      <c r="H634">
        <v>2</v>
      </c>
      <c r="I634">
        <v>0</v>
      </c>
      <c r="J634">
        <v>0</v>
      </c>
      <c r="K634">
        <v>0</v>
      </c>
      <c r="L634">
        <v>1</v>
      </c>
      <c r="M634">
        <v>0</v>
      </c>
      <c r="N634">
        <v>1</v>
      </c>
      <c r="O634">
        <v>0</v>
      </c>
      <c r="P634">
        <v>1</v>
      </c>
    </row>
    <row r="635" spans="1:16" x14ac:dyDescent="0.25">
      <c r="A635" t="str">
        <f>"631"</f>
        <v>631</v>
      </c>
      <c r="B635" t="str">
        <f t="shared" si="33"/>
        <v>102</v>
      </c>
      <c r="C635" t="str">
        <f t="shared" si="35"/>
        <v>26</v>
      </c>
      <c r="D635" t="str">
        <f>"19"</f>
        <v>19</v>
      </c>
      <c r="E635" t="str">
        <f>"102-26-19"</f>
        <v>102-26-19</v>
      </c>
      <c r="F635" t="s">
        <v>18</v>
      </c>
      <c r="G635" t="s">
        <v>20</v>
      </c>
      <c r="H635">
        <v>1</v>
      </c>
      <c r="K635">
        <v>1</v>
      </c>
      <c r="L635">
        <v>0</v>
      </c>
      <c r="M635">
        <v>0</v>
      </c>
      <c r="N635">
        <v>1</v>
      </c>
    </row>
    <row r="636" spans="1:16" x14ac:dyDescent="0.25">
      <c r="A636" t="str">
        <f>"632"</f>
        <v>632</v>
      </c>
      <c r="B636" t="str">
        <f t="shared" si="33"/>
        <v>102</v>
      </c>
      <c r="C636" t="str">
        <f t="shared" si="35"/>
        <v>26</v>
      </c>
      <c r="D636" t="str">
        <f>"12"</f>
        <v>12</v>
      </c>
      <c r="E636" t="str">
        <f>"102-26-12"</f>
        <v>102-26-12</v>
      </c>
      <c r="F636" t="s">
        <v>18</v>
      </c>
      <c r="G636" t="s">
        <v>20</v>
      </c>
      <c r="H636">
        <v>1</v>
      </c>
      <c r="K636">
        <v>0</v>
      </c>
      <c r="L636">
        <v>1</v>
      </c>
      <c r="M636">
        <v>0</v>
      </c>
      <c r="N636">
        <v>1</v>
      </c>
    </row>
    <row r="637" spans="1:16" x14ac:dyDescent="0.25">
      <c r="A637" t="str">
        <f>"633"</f>
        <v>633</v>
      </c>
      <c r="B637" t="str">
        <f t="shared" si="33"/>
        <v>102</v>
      </c>
      <c r="C637" t="str">
        <f t="shared" si="35"/>
        <v>26</v>
      </c>
      <c r="D637" t="str">
        <f>"1"</f>
        <v>1</v>
      </c>
      <c r="E637" t="str">
        <f>"102-26-1"</f>
        <v>102-26-1</v>
      </c>
      <c r="F637" t="s">
        <v>18</v>
      </c>
      <c r="G637" t="s">
        <v>19</v>
      </c>
      <c r="H637">
        <v>2</v>
      </c>
      <c r="I637">
        <v>1</v>
      </c>
      <c r="J637">
        <v>1</v>
      </c>
      <c r="K637">
        <v>1</v>
      </c>
      <c r="L637">
        <v>0</v>
      </c>
      <c r="M637">
        <v>0</v>
      </c>
      <c r="N637">
        <v>1</v>
      </c>
      <c r="O637">
        <v>1</v>
      </c>
      <c r="P637">
        <v>0</v>
      </c>
    </row>
    <row r="638" spans="1:16" x14ac:dyDescent="0.25">
      <c r="A638" t="str">
        <f>"634"</f>
        <v>634</v>
      </c>
      <c r="B638" t="str">
        <f t="shared" si="33"/>
        <v>102</v>
      </c>
      <c r="C638" t="str">
        <f t="shared" si="35"/>
        <v>26</v>
      </c>
      <c r="D638" t="str">
        <f>"13"</f>
        <v>13</v>
      </c>
      <c r="E638" t="str">
        <f>"102-26-13"</f>
        <v>102-26-13</v>
      </c>
      <c r="F638" t="s">
        <v>18</v>
      </c>
      <c r="G638" t="s">
        <v>19</v>
      </c>
      <c r="H638">
        <v>2</v>
      </c>
      <c r="I638">
        <v>1</v>
      </c>
      <c r="J638">
        <v>0</v>
      </c>
      <c r="K638">
        <v>0</v>
      </c>
      <c r="L638">
        <v>1</v>
      </c>
      <c r="M638">
        <v>0</v>
      </c>
      <c r="N638">
        <v>1</v>
      </c>
      <c r="O638">
        <v>1</v>
      </c>
      <c r="P638">
        <v>0</v>
      </c>
    </row>
    <row r="639" spans="1:16" x14ac:dyDescent="0.25">
      <c r="A639" t="str">
        <f>"635"</f>
        <v>635</v>
      </c>
      <c r="B639" t="str">
        <f t="shared" si="33"/>
        <v>102</v>
      </c>
      <c r="C639" t="str">
        <f t="shared" si="35"/>
        <v>26</v>
      </c>
      <c r="D639" t="str">
        <f>"8"</f>
        <v>8</v>
      </c>
      <c r="E639" t="str">
        <f>"102-26-8"</f>
        <v>102-26-8</v>
      </c>
      <c r="F639" t="s">
        <v>18</v>
      </c>
      <c r="G639" t="s">
        <v>20</v>
      </c>
      <c r="H639">
        <v>1</v>
      </c>
      <c r="K639">
        <v>1</v>
      </c>
      <c r="L639">
        <v>0</v>
      </c>
      <c r="M639">
        <v>1</v>
      </c>
      <c r="N639">
        <v>0</v>
      </c>
    </row>
    <row r="640" spans="1:16" x14ac:dyDescent="0.25">
      <c r="A640" t="str">
        <f>"636"</f>
        <v>636</v>
      </c>
      <c r="B640" t="str">
        <f t="shared" si="33"/>
        <v>102</v>
      </c>
      <c r="C640" t="str">
        <f t="shared" si="35"/>
        <v>26</v>
      </c>
      <c r="D640" t="str">
        <f>"22"</f>
        <v>22</v>
      </c>
      <c r="E640" t="str">
        <f>"102-26-22"</f>
        <v>102-26-22</v>
      </c>
      <c r="F640" t="s">
        <v>18</v>
      </c>
      <c r="G640" t="s">
        <v>20</v>
      </c>
      <c r="H640">
        <v>1</v>
      </c>
      <c r="K640">
        <v>0</v>
      </c>
      <c r="L640">
        <v>1</v>
      </c>
      <c r="M640">
        <v>0</v>
      </c>
      <c r="N640">
        <v>1</v>
      </c>
    </row>
    <row r="641" spans="1:16" x14ac:dyDescent="0.25">
      <c r="A641" t="str">
        <f>"637"</f>
        <v>637</v>
      </c>
      <c r="B641" t="str">
        <f t="shared" si="33"/>
        <v>102</v>
      </c>
      <c r="C641" t="str">
        <f t="shared" si="35"/>
        <v>26</v>
      </c>
      <c r="D641" t="str">
        <f>"14"</f>
        <v>14</v>
      </c>
      <c r="E641" t="str">
        <f>"102-26-14"</f>
        <v>102-26-14</v>
      </c>
      <c r="F641" t="s">
        <v>18</v>
      </c>
      <c r="G641" t="s">
        <v>20</v>
      </c>
      <c r="H641">
        <v>1</v>
      </c>
      <c r="K641">
        <v>0</v>
      </c>
      <c r="L641">
        <v>1</v>
      </c>
      <c r="M641">
        <v>0</v>
      </c>
      <c r="N641">
        <v>1</v>
      </c>
    </row>
    <row r="642" spans="1:16" x14ac:dyDescent="0.25">
      <c r="A642" t="str">
        <f>"638"</f>
        <v>638</v>
      </c>
      <c r="B642" t="str">
        <f t="shared" si="33"/>
        <v>102</v>
      </c>
      <c r="C642" t="str">
        <f t="shared" si="35"/>
        <v>26</v>
      </c>
      <c r="D642" t="str">
        <f>"9"</f>
        <v>9</v>
      </c>
      <c r="E642" t="str">
        <f>"102-26-9"</f>
        <v>102-26-9</v>
      </c>
      <c r="F642" t="s">
        <v>18</v>
      </c>
      <c r="G642" t="s">
        <v>20</v>
      </c>
      <c r="H642">
        <v>1</v>
      </c>
      <c r="K642">
        <v>0</v>
      </c>
      <c r="L642">
        <v>1</v>
      </c>
      <c r="M642">
        <v>0</v>
      </c>
      <c r="N642">
        <v>1</v>
      </c>
    </row>
    <row r="643" spans="1:16" x14ac:dyDescent="0.25">
      <c r="A643" t="str">
        <f>"639"</f>
        <v>639</v>
      </c>
      <c r="B643" t="str">
        <f t="shared" si="33"/>
        <v>102</v>
      </c>
      <c r="C643" t="str">
        <f t="shared" si="35"/>
        <v>26</v>
      </c>
      <c r="D643" t="str">
        <f>"15"</f>
        <v>15</v>
      </c>
      <c r="E643" t="str">
        <f>"102-26-15"</f>
        <v>102-26-15</v>
      </c>
      <c r="F643" t="s">
        <v>18</v>
      </c>
      <c r="G643" t="s">
        <v>20</v>
      </c>
      <c r="H643">
        <v>1</v>
      </c>
      <c r="K643">
        <v>0</v>
      </c>
      <c r="L643">
        <v>1</v>
      </c>
      <c r="M643">
        <v>0</v>
      </c>
      <c r="N643">
        <v>1</v>
      </c>
    </row>
    <row r="644" spans="1:16" x14ac:dyDescent="0.25">
      <c r="A644" t="str">
        <f>"640"</f>
        <v>640</v>
      </c>
      <c r="B644" t="str">
        <f t="shared" si="33"/>
        <v>102</v>
      </c>
      <c r="C644" t="str">
        <f t="shared" si="35"/>
        <v>26</v>
      </c>
      <c r="D644" t="str">
        <f>"3"</f>
        <v>3</v>
      </c>
      <c r="E644" t="str">
        <f>"102-26-3"</f>
        <v>102-26-3</v>
      </c>
      <c r="F644" t="s">
        <v>18</v>
      </c>
      <c r="G644" t="s">
        <v>19</v>
      </c>
      <c r="H644">
        <v>2</v>
      </c>
      <c r="I644">
        <v>1</v>
      </c>
      <c r="J644">
        <v>0</v>
      </c>
      <c r="K644">
        <v>1</v>
      </c>
      <c r="L644">
        <v>0</v>
      </c>
      <c r="M644">
        <v>0</v>
      </c>
      <c r="N644">
        <v>1</v>
      </c>
      <c r="O644">
        <v>0</v>
      </c>
      <c r="P644">
        <v>1</v>
      </c>
    </row>
    <row r="645" spans="1:16" x14ac:dyDescent="0.25">
      <c r="A645" t="str">
        <f>"641"</f>
        <v>641</v>
      </c>
      <c r="B645" t="str">
        <f t="shared" ref="B645:B708" si="36">"102"</f>
        <v>102</v>
      </c>
      <c r="C645" t="str">
        <f t="shared" si="35"/>
        <v>26</v>
      </c>
      <c r="D645" t="str">
        <f>"16"</f>
        <v>16</v>
      </c>
      <c r="E645" t="str">
        <f>"102-26-16"</f>
        <v>102-26-16</v>
      </c>
      <c r="F645" t="s">
        <v>18</v>
      </c>
      <c r="G645" t="s">
        <v>20</v>
      </c>
      <c r="H645">
        <v>1</v>
      </c>
      <c r="K645">
        <v>0</v>
      </c>
      <c r="L645">
        <v>1</v>
      </c>
      <c r="M645">
        <v>0</v>
      </c>
      <c r="N645">
        <v>1</v>
      </c>
    </row>
    <row r="646" spans="1:16" x14ac:dyDescent="0.25">
      <c r="A646" t="str">
        <f>"642"</f>
        <v>642</v>
      </c>
      <c r="B646" t="str">
        <f t="shared" si="36"/>
        <v>102</v>
      </c>
      <c r="C646" t="str">
        <f t="shared" si="35"/>
        <v>26</v>
      </c>
      <c r="D646" t="str">
        <f>"4"</f>
        <v>4</v>
      </c>
      <c r="E646" t="str">
        <f>"102-26-4"</f>
        <v>102-26-4</v>
      </c>
      <c r="F646" t="s">
        <v>18</v>
      </c>
      <c r="G646" t="s">
        <v>19</v>
      </c>
      <c r="H646">
        <v>2</v>
      </c>
      <c r="I646">
        <v>0</v>
      </c>
      <c r="J646">
        <v>0</v>
      </c>
      <c r="K646">
        <v>1</v>
      </c>
      <c r="L646">
        <v>0</v>
      </c>
      <c r="M646">
        <v>0</v>
      </c>
      <c r="N646">
        <v>0</v>
      </c>
      <c r="O646">
        <v>1</v>
      </c>
      <c r="P646">
        <v>0</v>
      </c>
    </row>
    <row r="647" spans="1:16" x14ac:dyDescent="0.25">
      <c r="A647" t="str">
        <f>"643"</f>
        <v>643</v>
      </c>
      <c r="B647" t="str">
        <f t="shared" si="36"/>
        <v>102</v>
      </c>
      <c r="C647" t="str">
        <f t="shared" si="35"/>
        <v>26</v>
      </c>
      <c r="D647" t="str">
        <f>"17"</f>
        <v>17</v>
      </c>
      <c r="E647" t="str">
        <f>"102-26-17"</f>
        <v>102-26-17</v>
      </c>
      <c r="F647" t="s">
        <v>18</v>
      </c>
      <c r="G647" t="s">
        <v>20</v>
      </c>
      <c r="H647">
        <v>1</v>
      </c>
      <c r="K647">
        <v>0</v>
      </c>
      <c r="L647">
        <v>1</v>
      </c>
      <c r="M647">
        <v>0</v>
      </c>
      <c r="N647">
        <v>1</v>
      </c>
    </row>
    <row r="648" spans="1:16" x14ac:dyDescent="0.25">
      <c r="A648" t="str">
        <f>"644"</f>
        <v>644</v>
      </c>
      <c r="B648" t="str">
        <f t="shared" si="36"/>
        <v>102</v>
      </c>
      <c r="C648" t="str">
        <f t="shared" si="35"/>
        <v>26</v>
      </c>
      <c r="D648" t="str">
        <f>"2"</f>
        <v>2</v>
      </c>
      <c r="E648" t="str">
        <f>"102-26-2"</f>
        <v>102-26-2</v>
      </c>
      <c r="F648" t="s">
        <v>18</v>
      </c>
      <c r="G648" t="s">
        <v>19</v>
      </c>
      <c r="H648">
        <v>2</v>
      </c>
      <c r="I648">
        <v>1</v>
      </c>
      <c r="J648">
        <v>1</v>
      </c>
      <c r="K648">
        <v>1</v>
      </c>
      <c r="L648">
        <v>0</v>
      </c>
      <c r="M648">
        <v>1</v>
      </c>
      <c r="N648">
        <v>0</v>
      </c>
      <c r="O648">
        <v>1</v>
      </c>
      <c r="P648">
        <v>0</v>
      </c>
    </row>
    <row r="649" spans="1:16" x14ac:dyDescent="0.25">
      <c r="A649" t="str">
        <f>"645"</f>
        <v>645</v>
      </c>
      <c r="B649" t="str">
        <f t="shared" si="36"/>
        <v>102</v>
      </c>
      <c r="C649" t="str">
        <f t="shared" si="35"/>
        <v>26</v>
      </c>
      <c r="D649" t="str">
        <f>"18"</f>
        <v>18</v>
      </c>
      <c r="E649" t="str">
        <f>"102-26-18"</f>
        <v>102-26-18</v>
      </c>
      <c r="F649" t="s">
        <v>18</v>
      </c>
      <c r="G649" t="s">
        <v>20</v>
      </c>
      <c r="H649">
        <v>1</v>
      </c>
      <c r="K649">
        <v>1</v>
      </c>
      <c r="L649">
        <v>0</v>
      </c>
      <c r="M649">
        <v>1</v>
      </c>
      <c r="N649">
        <v>0</v>
      </c>
    </row>
    <row r="650" spans="1:16" x14ac:dyDescent="0.25">
      <c r="A650" t="str">
        <f>"646"</f>
        <v>646</v>
      </c>
      <c r="B650" t="str">
        <f t="shared" si="36"/>
        <v>102</v>
      </c>
      <c r="C650" t="str">
        <f t="shared" si="35"/>
        <v>26</v>
      </c>
      <c r="D650" t="str">
        <f>"6"</f>
        <v>6</v>
      </c>
      <c r="E650" t="str">
        <f>"102-26-6"</f>
        <v>102-26-6</v>
      </c>
      <c r="F650" t="s">
        <v>18</v>
      </c>
      <c r="G650" t="s">
        <v>19</v>
      </c>
      <c r="H650">
        <v>2</v>
      </c>
      <c r="I650">
        <v>1</v>
      </c>
      <c r="J650">
        <v>1</v>
      </c>
      <c r="K650">
        <v>1</v>
      </c>
      <c r="L650">
        <v>0</v>
      </c>
      <c r="M650">
        <v>1</v>
      </c>
      <c r="N650">
        <v>0</v>
      </c>
      <c r="O650">
        <v>1</v>
      </c>
      <c r="P650">
        <v>0</v>
      </c>
    </row>
    <row r="651" spans="1:16" x14ac:dyDescent="0.25">
      <c r="A651" t="str">
        <f>"647"</f>
        <v>647</v>
      </c>
      <c r="B651" t="str">
        <f t="shared" si="36"/>
        <v>102</v>
      </c>
      <c r="C651" t="str">
        <f t="shared" si="35"/>
        <v>26</v>
      </c>
      <c r="D651" t="str">
        <f>"20"</f>
        <v>20</v>
      </c>
      <c r="E651" t="str">
        <f>"102-26-20"</f>
        <v>102-26-20</v>
      </c>
      <c r="F651" t="s">
        <v>18</v>
      </c>
      <c r="G651" t="s">
        <v>20</v>
      </c>
      <c r="H651">
        <v>1</v>
      </c>
      <c r="K651">
        <v>0</v>
      </c>
      <c r="L651">
        <v>1</v>
      </c>
      <c r="M651">
        <v>0</v>
      </c>
      <c r="N651">
        <v>1</v>
      </c>
    </row>
    <row r="652" spans="1:16" x14ac:dyDescent="0.25">
      <c r="A652" t="str">
        <f>"648"</f>
        <v>648</v>
      </c>
      <c r="B652" t="str">
        <f t="shared" si="36"/>
        <v>102</v>
      </c>
      <c r="C652" t="str">
        <f t="shared" si="35"/>
        <v>26</v>
      </c>
      <c r="D652" t="str">
        <f>"7"</f>
        <v>7</v>
      </c>
      <c r="E652" t="str">
        <f>"102-26-7"</f>
        <v>102-26-7</v>
      </c>
      <c r="F652" t="s">
        <v>18</v>
      </c>
      <c r="G652" t="s">
        <v>19</v>
      </c>
      <c r="H652">
        <v>2</v>
      </c>
      <c r="I652">
        <v>1</v>
      </c>
      <c r="J652">
        <v>1</v>
      </c>
      <c r="K652">
        <v>0</v>
      </c>
      <c r="L652">
        <v>1</v>
      </c>
      <c r="M652">
        <v>0</v>
      </c>
      <c r="N652">
        <v>1</v>
      </c>
      <c r="O652">
        <v>1</v>
      </c>
      <c r="P652">
        <v>0</v>
      </c>
    </row>
    <row r="653" spans="1:16" x14ac:dyDescent="0.25">
      <c r="A653" t="str">
        <f>"649"</f>
        <v>649</v>
      </c>
      <c r="B653" t="str">
        <f t="shared" si="36"/>
        <v>102</v>
      </c>
      <c r="C653" t="str">
        <f t="shared" si="35"/>
        <v>26</v>
      </c>
      <c r="D653" t="str">
        <f>"21"</f>
        <v>21</v>
      </c>
      <c r="E653" t="str">
        <f>"102-26-21"</f>
        <v>102-26-21</v>
      </c>
      <c r="F653" t="s">
        <v>18</v>
      </c>
      <c r="G653" t="s">
        <v>20</v>
      </c>
      <c r="H653">
        <v>1</v>
      </c>
      <c r="K653">
        <v>0</v>
      </c>
      <c r="L653">
        <v>1</v>
      </c>
      <c r="M653">
        <v>0</v>
      </c>
      <c r="N653">
        <v>1</v>
      </c>
    </row>
    <row r="654" spans="1:16" x14ac:dyDescent="0.25">
      <c r="A654" t="str">
        <f>"650"</f>
        <v>650</v>
      </c>
      <c r="B654" t="str">
        <f t="shared" si="36"/>
        <v>102</v>
      </c>
      <c r="C654" t="str">
        <f t="shared" si="35"/>
        <v>26</v>
      </c>
      <c r="D654" t="str">
        <f>"5"</f>
        <v>5</v>
      </c>
      <c r="E654" t="str">
        <f>"102-26-5"</f>
        <v>102-26-5</v>
      </c>
      <c r="F654" t="s">
        <v>18</v>
      </c>
      <c r="G654" t="s">
        <v>19</v>
      </c>
      <c r="H654">
        <v>2</v>
      </c>
      <c r="I654">
        <v>0</v>
      </c>
      <c r="J654">
        <v>0</v>
      </c>
      <c r="K654">
        <v>1</v>
      </c>
      <c r="L654">
        <v>0</v>
      </c>
      <c r="M654">
        <v>1</v>
      </c>
      <c r="N654">
        <v>0</v>
      </c>
      <c r="O654">
        <v>1</v>
      </c>
      <c r="P654">
        <v>0</v>
      </c>
    </row>
    <row r="655" spans="1:16" x14ac:dyDescent="0.25">
      <c r="A655" t="str">
        <f>"651"</f>
        <v>651</v>
      </c>
      <c r="B655" t="str">
        <f t="shared" si="36"/>
        <v>102</v>
      </c>
      <c r="C655" t="str">
        <f t="shared" ref="C655:C679" si="37">"27"</f>
        <v>27</v>
      </c>
      <c r="D655" t="str">
        <f>"24"</f>
        <v>24</v>
      </c>
      <c r="E655" t="str">
        <f>"102-27-24"</f>
        <v>102-27-24</v>
      </c>
      <c r="F655" t="s">
        <v>18</v>
      </c>
      <c r="G655" t="s">
        <v>20</v>
      </c>
      <c r="H655">
        <v>1</v>
      </c>
      <c r="K655">
        <v>0</v>
      </c>
      <c r="L655">
        <v>1</v>
      </c>
      <c r="M655">
        <v>0</v>
      </c>
      <c r="N655">
        <v>1</v>
      </c>
    </row>
    <row r="656" spans="1:16" x14ac:dyDescent="0.25">
      <c r="A656" t="str">
        <f>"652"</f>
        <v>652</v>
      </c>
      <c r="B656" t="str">
        <f t="shared" si="36"/>
        <v>102</v>
      </c>
      <c r="C656" t="str">
        <f t="shared" si="37"/>
        <v>27</v>
      </c>
      <c r="D656" t="str">
        <f>"11"</f>
        <v>11</v>
      </c>
      <c r="E656" t="str">
        <f>"102-27-11"</f>
        <v>102-27-11</v>
      </c>
      <c r="F656" t="s">
        <v>18</v>
      </c>
      <c r="G656" t="s">
        <v>20</v>
      </c>
      <c r="H656">
        <v>1</v>
      </c>
      <c r="K656">
        <v>0</v>
      </c>
      <c r="L656">
        <v>1</v>
      </c>
      <c r="M656">
        <v>0</v>
      </c>
      <c r="N656">
        <v>1</v>
      </c>
    </row>
    <row r="657" spans="1:16" x14ac:dyDescent="0.25">
      <c r="A657" t="str">
        <f>"653"</f>
        <v>653</v>
      </c>
      <c r="B657" t="str">
        <f t="shared" si="36"/>
        <v>102</v>
      </c>
      <c r="C657" t="str">
        <f t="shared" si="37"/>
        <v>27</v>
      </c>
      <c r="D657" t="str">
        <f>"6"</f>
        <v>6</v>
      </c>
      <c r="E657" t="str">
        <f>"102-27-6"</f>
        <v>102-27-6</v>
      </c>
      <c r="F657" t="s">
        <v>18</v>
      </c>
      <c r="G657" t="s">
        <v>20</v>
      </c>
      <c r="H657">
        <v>1</v>
      </c>
      <c r="K657">
        <v>1</v>
      </c>
      <c r="L657">
        <v>0</v>
      </c>
      <c r="M657">
        <v>1</v>
      </c>
      <c r="N657">
        <v>0</v>
      </c>
    </row>
    <row r="658" spans="1:16" x14ac:dyDescent="0.25">
      <c r="A658" t="str">
        <f>"654"</f>
        <v>654</v>
      </c>
      <c r="B658" t="str">
        <f t="shared" si="36"/>
        <v>102</v>
      </c>
      <c r="C658" t="str">
        <f t="shared" si="37"/>
        <v>27</v>
      </c>
      <c r="D658" t="str">
        <f>"21"</f>
        <v>21</v>
      </c>
      <c r="E658" t="str">
        <f>"102-27-21"</f>
        <v>102-27-21</v>
      </c>
      <c r="F658" t="s">
        <v>18</v>
      </c>
      <c r="G658" t="s">
        <v>20</v>
      </c>
      <c r="H658">
        <v>1</v>
      </c>
      <c r="K658">
        <v>0</v>
      </c>
      <c r="L658">
        <v>1</v>
      </c>
      <c r="M658">
        <v>0</v>
      </c>
      <c r="N658">
        <v>1</v>
      </c>
    </row>
    <row r="659" spans="1:16" x14ac:dyDescent="0.25">
      <c r="A659" t="str">
        <f>"655"</f>
        <v>655</v>
      </c>
      <c r="B659" t="str">
        <f t="shared" si="36"/>
        <v>102</v>
      </c>
      <c r="C659" t="str">
        <f t="shared" si="37"/>
        <v>27</v>
      </c>
      <c r="D659" t="str">
        <f>"12"</f>
        <v>12</v>
      </c>
      <c r="E659" t="str">
        <f>"102-27-12"</f>
        <v>102-27-12</v>
      </c>
      <c r="F659" t="s">
        <v>18</v>
      </c>
      <c r="G659" t="s">
        <v>20</v>
      </c>
      <c r="H659">
        <v>1</v>
      </c>
      <c r="K659">
        <v>0</v>
      </c>
      <c r="L659">
        <v>1</v>
      </c>
      <c r="M659">
        <v>0</v>
      </c>
      <c r="N659">
        <v>1</v>
      </c>
    </row>
    <row r="660" spans="1:16" x14ac:dyDescent="0.25">
      <c r="A660" t="str">
        <f>"656"</f>
        <v>656</v>
      </c>
      <c r="B660" t="str">
        <f t="shared" si="36"/>
        <v>102</v>
      </c>
      <c r="C660" t="str">
        <f t="shared" si="37"/>
        <v>27</v>
      </c>
      <c r="D660" t="str">
        <f>"10"</f>
        <v>10</v>
      </c>
      <c r="E660" t="str">
        <f>"102-27-10"</f>
        <v>102-27-10</v>
      </c>
      <c r="F660" t="s">
        <v>18</v>
      </c>
      <c r="G660" t="s">
        <v>20</v>
      </c>
      <c r="H660">
        <v>1</v>
      </c>
      <c r="K660">
        <v>0</v>
      </c>
      <c r="L660">
        <v>1</v>
      </c>
      <c r="M660">
        <v>0</v>
      </c>
      <c r="N660">
        <v>1</v>
      </c>
    </row>
    <row r="661" spans="1:16" x14ac:dyDescent="0.25">
      <c r="A661" t="str">
        <f>"657"</f>
        <v>657</v>
      </c>
      <c r="B661" t="str">
        <f t="shared" si="36"/>
        <v>102</v>
      </c>
      <c r="C661" t="str">
        <f t="shared" si="37"/>
        <v>27</v>
      </c>
      <c r="D661" t="str">
        <f>"22"</f>
        <v>22</v>
      </c>
      <c r="E661" t="str">
        <f>"102-27-22"</f>
        <v>102-27-22</v>
      </c>
      <c r="F661" t="s">
        <v>18</v>
      </c>
      <c r="G661" t="s">
        <v>20</v>
      </c>
      <c r="H661">
        <v>1</v>
      </c>
      <c r="K661">
        <v>0</v>
      </c>
      <c r="L661">
        <v>1</v>
      </c>
      <c r="M661">
        <v>0</v>
      </c>
      <c r="N661">
        <v>1</v>
      </c>
    </row>
    <row r="662" spans="1:16" x14ac:dyDescent="0.25">
      <c r="A662" t="str">
        <f>"658"</f>
        <v>658</v>
      </c>
      <c r="B662" t="str">
        <f t="shared" si="36"/>
        <v>102</v>
      </c>
      <c r="C662" t="str">
        <f t="shared" si="37"/>
        <v>27</v>
      </c>
      <c r="D662" t="str">
        <f>"13"</f>
        <v>13</v>
      </c>
      <c r="E662" t="str">
        <f>"102-27-13"</f>
        <v>102-27-13</v>
      </c>
      <c r="F662" t="s">
        <v>18</v>
      </c>
      <c r="G662" t="s">
        <v>20</v>
      </c>
      <c r="H662">
        <v>1</v>
      </c>
      <c r="K662">
        <v>0</v>
      </c>
      <c r="L662">
        <v>1</v>
      </c>
      <c r="M662">
        <v>0</v>
      </c>
      <c r="N662">
        <v>1</v>
      </c>
    </row>
    <row r="663" spans="1:16" x14ac:dyDescent="0.25">
      <c r="A663" t="str">
        <f>"659"</f>
        <v>659</v>
      </c>
      <c r="B663" t="str">
        <f t="shared" si="36"/>
        <v>102</v>
      </c>
      <c r="C663" t="str">
        <f t="shared" si="37"/>
        <v>27</v>
      </c>
      <c r="D663" t="str">
        <f>"5"</f>
        <v>5</v>
      </c>
      <c r="E663" t="str">
        <f>"102-27-5"</f>
        <v>102-27-5</v>
      </c>
      <c r="F663" t="s">
        <v>18</v>
      </c>
      <c r="G663" t="s">
        <v>20</v>
      </c>
      <c r="H663">
        <v>1</v>
      </c>
      <c r="K663">
        <v>1</v>
      </c>
      <c r="L663">
        <v>0</v>
      </c>
      <c r="M663">
        <v>1</v>
      </c>
      <c r="N663">
        <v>0</v>
      </c>
    </row>
    <row r="664" spans="1:16" x14ac:dyDescent="0.25">
      <c r="A664" t="str">
        <f>"660"</f>
        <v>660</v>
      </c>
      <c r="B664" t="str">
        <f t="shared" si="36"/>
        <v>102</v>
      </c>
      <c r="C664" t="str">
        <f t="shared" si="37"/>
        <v>27</v>
      </c>
      <c r="D664" t="str">
        <f>"25"</f>
        <v>25</v>
      </c>
      <c r="E664" t="str">
        <f>"102-27-25"</f>
        <v>102-27-25</v>
      </c>
      <c r="F664" t="s">
        <v>18</v>
      </c>
      <c r="G664" t="s">
        <v>20</v>
      </c>
      <c r="H664">
        <v>1</v>
      </c>
      <c r="K664">
        <v>0</v>
      </c>
      <c r="L664">
        <v>1</v>
      </c>
      <c r="M664">
        <v>0</v>
      </c>
      <c r="N664">
        <v>1</v>
      </c>
    </row>
    <row r="665" spans="1:16" x14ac:dyDescent="0.25">
      <c r="A665" t="str">
        <f>"661"</f>
        <v>661</v>
      </c>
      <c r="B665" t="str">
        <f t="shared" si="36"/>
        <v>102</v>
      </c>
      <c r="C665" t="str">
        <f t="shared" si="37"/>
        <v>27</v>
      </c>
      <c r="D665" t="str">
        <f>"14"</f>
        <v>14</v>
      </c>
      <c r="E665" t="str">
        <f>"102-27-14"</f>
        <v>102-27-14</v>
      </c>
      <c r="F665" t="s">
        <v>18</v>
      </c>
      <c r="G665" t="s">
        <v>20</v>
      </c>
      <c r="H665">
        <v>1</v>
      </c>
      <c r="K665">
        <v>0</v>
      </c>
      <c r="L665">
        <v>1</v>
      </c>
      <c r="M665">
        <v>0</v>
      </c>
      <c r="N665">
        <v>1</v>
      </c>
    </row>
    <row r="666" spans="1:16" x14ac:dyDescent="0.25">
      <c r="A666" t="str">
        <f>"662"</f>
        <v>662</v>
      </c>
      <c r="B666" t="str">
        <f t="shared" si="36"/>
        <v>102</v>
      </c>
      <c r="C666" t="str">
        <f t="shared" si="37"/>
        <v>27</v>
      </c>
      <c r="D666" t="str">
        <f>"3"</f>
        <v>3</v>
      </c>
      <c r="E666" t="str">
        <f>"102-27-3"</f>
        <v>102-27-3</v>
      </c>
      <c r="F666" t="s">
        <v>18</v>
      </c>
      <c r="G666" t="s">
        <v>19</v>
      </c>
      <c r="H666">
        <v>2</v>
      </c>
      <c r="I666">
        <v>1</v>
      </c>
      <c r="J666">
        <v>1</v>
      </c>
      <c r="K666">
        <v>1</v>
      </c>
      <c r="L666">
        <v>0</v>
      </c>
      <c r="M666">
        <v>1</v>
      </c>
      <c r="N666">
        <v>0</v>
      </c>
      <c r="O666">
        <v>1</v>
      </c>
      <c r="P666">
        <v>0</v>
      </c>
    </row>
    <row r="667" spans="1:16" x14ac:dyDescent="0.25">
      <c r="A667" t="str">
        <f>"663"</f>
        <v>663</v>
      </c>
      <c r="B667" t="str">
        <f t="shared" si="36"/>
        <v>102</v>
      </c>
      <c r="C667" t="str">
        <f t="shared" si="37"/>
        <v>27</v>
      </c>
      <c r="D667" t="str">
        <f>"23"</f>
        <v>23</v>
      </c>
      <c r="E667" t="str">
        <f>"102-27-23"</f>
        <v>102-27-23</v>
      </c>
      <c r="F667" t="s">
        <v>18</v>
      </c>
      <c r="G667" t="s">
        <v>20</v>
      </c>
      <c r="H667">
        <v>1</v>
      </c>
      <c r="K667">
        <v>0</v>
      </c>
      <c r="L667">
        <v>1</v>
      </c>
      <c r="M667">
        <v>0</v>
      </c>
      <c r="N667">
        <v>1</v>
      </c>
    </row>
    <row r="668" spans="1:16" x14ac:dyDescent="0.25">
      <c r="A668" t="str">
        <f>"664"</f>
        <v>664</v>
      </c>
      <c r="B668" t="str">
        <f t="shared" si="36"/>
        <v>102</v>
      </c>
      <c r="C668" t="str">
        <f t="shared" si="37"/>
        <v>27</v>
      </c>
      <c r="D668" t="str">
        <f>"1"</f>
        <v>1</v>
      </c>
      <c r="E668" t="str">
        <f>"102-27-1"</f>
        <v>102-27-1</v>
      </c>
      <c r="F668" t="s">
        <v>18</v>
      </c>
      <c r="G668" t="s">
        <v>19</v>
      </c>
      <c r="H668">
        <v>2</v>
      </c>
      <c r="I668">
        <v>1</v>
      </c>
      <c r="J668">
        <v>1</v>
      </c>
      <c r="K668">
        <v>0</v>
      </c>
      <c r="L668">
        <v>1</v>
      </c>
      <c r="M668">
        <v>0</v>
      </c>
      <c r="N668">
        <v>1</v>
      </c>
      <c r="O668">
        <v>1</v>
      </c>
      <c r="P668">
        <v>0</v>
      </c>
    </row>
    <row r="669" spans="1:16" x14ac:dyDescent="0.25">
      <c r="A669" t="str">
        <f>"665"</f>
        <v>665</v>
      </c>
      <c r="B669" t="str">
        <f t="shared" si="36"/>
        <v>102</v>
      </c>
      <c r="C669" t="str">
        <f t="shared" si="37"/>
        <v>27</v>
      </c>
      <c r="D669" t="str">
        <f>"16"</f>
        <v>16</v>
      </c>
      <c r="E669" t="str">
        <f>"102-27-16"</f>
        <v>102-27-16</v>
      </c>
      <c r="F669" t="s">
        <v>18</v>
      </c>
      <c r="G669" t="s">
        <v>20</v>
      </c>
      <c r="H669">
        <v>1</v>
      </c>
      <c r="K669">
        <v>0</v>
      </c>
      <c r="L669">
        <v>1</v>
      </c>
      <c r="M669">
        <v>0</v>
      </c>
      <c r="N669">
        <v>1</v>
      </c>
    </row>
    <row r="670" spans="1:16" x14ac:dyDescent="0.25">
      <c r="A670" t="str">
        <f>"666"</f>
        <v>666</v>
      </c>
      <c r="B670" t="str">
        <f t="shared" si="36"/>
        <v>102</v>
      </c>
      <c r="C670" t="str">
        <f t="shared" si="37"/>
        <v>27</v>
      </c>
      <c r="D670" t="str">
        <f>"2"</f>
        <v>2</v>
      </c>
      <c r="E670" t="str">
        <f>"102-27-2"</f>
        <v>102-27-2</v>
      </c>
      <c r="F670" t="s">
        <v>18</v>
      </c>
      <c r="G670" t="s">
        <v>19</v>
      </c>
      <c r="H670">
        <v>2</v>
      </c>
      <c r="I670">
        <v>0</v>
      </c>
      <c r="J670">
        <v>0</v>
      </c>
      <c r="K670">
        <v>1</v>
      </c>
      <c r="L670">
        <v>0</v>
      </c>
      <c r="M670">
        <v>1</v>
      </c>
      <c r="N670">
        <v>0</v>
      </c>
      <c r="O670">
        <v>1</v>
      </c>
      <c r="P670">
        <v>0</v>
      </c>
    </row>
    <row r="671" spans="1:16" x14ac:dyDescent="0.25">
      <c r="A671" t="str">
        <f>"667"</f>
        <v>667</v>
      </c>
      <c r="B671" t="str">
        <f t="shared" si="36"/>
        <v>102</v>
      </c>
      <c r="C671" t="str">
        <f t="shared" si="37"/>
        <v>27</v>
      </c>
      <c r="D671" t="str">
        <f>"17"</f>
        <v>17</v>
      </c>
      <c r="E671" t="str">
        <f>"102-27-17"</f>
        <v>102-27-17</v>
      </c>
      <c r="F671" t="s">
        <v>18</v>
      </c>
      <c r="G671" t="s">
        <v>20</v>
      </c>
      <c r="H671">
        <v>1</v>
      </c>
      <c r="K671">
        <v>1</v>
      </c>
      <c r="L671">
        <v>0</v>
      </c>
      <c r="M671">
        <v>1</v>
      </c>
      <c r="N671">
        <v>0</v>
      </c>
    </row>
    <row r="672" spans="1:16" x14ac:dyDescent="0.25">
      <c r="A672" t="str">
        <f>"668"</f>
        <v>668</v>
      </c>
      <c r="B672" t="str">
        <f t="shared" si="36"/>
        <v>102</v>
      </c>
      <c r="C672" t="str">
        <f t="shared" si="37"/>
        <v>27</v>
      </c>
      <c r="D672" t="str">
        <f>"8"</f>
        <v>8</v>
      </c>
      <c r="E672" t="str">
        <f>"102-27-8"</f>
        <v>102-27-8</v>
      </c>
      <c r="F672" t="s">
        <v>18</v>
      </c>
      <c r="G672" t="s">
        <v>19</v>
      </c>
      <c r="H672">
        <v>2</v>
      </c>
      <c r="I672">
        <v>1</v>
      </c>
      <c r="J672">
        <v>1</v>
      </c>
      <c r="K672">
        <v>0</v>
      </c>
      <c r="L672">
        <v>1</v>
      </c>
      <c r="M672">
        <v>0</v>
      </c>
      <c r="N672">
        <v>1</v>
      </c>
      <c r="O672">
        <v>0</v>
      </c>
      <c r="P672">
        <v>1</v>
      </c>
    </row>
    <row r="673" spans="1:16" x14ac:dyDescent="0.25">
      <c r="A673" t="str">
        <f>"669"</f>
        <v>669</v>
      </c>
      <c r="B673" t="str">
        <f t="shared" si="36"/>
        <v>102</v>
      </c>
      <c r="C673" t="str">
        <f t="shared" si="37"/>
        <v>27</v>
      </c>
      <c r="D673" t="str">
        <f>"18"</f>
        <v>18</v>
      </c>
      <c r="E673" t="str">
        <f>"102-27-18"</f>
        <v>102-27-18</v>
      </c>
      <c r="F673" t="s">
        <v>18</v>
      </c>
      <c r="G673" t="s">
        <v>20</v>
      </c>
      <c r="H673">
        <v>1</v>
      </c>
      <c r="K673">
        <v>0</v>
      </c>
      <c r="L673">
        <v>1</v>
      </c>
      <c r="M673">
        <v>0</v>
      </c>
      <c r="N673">
        <v>1</v>
      </c>
    </row>
    <row r="674" spans="1:16" x14ac:dyDescent="0.25">
      <c r="A674" t="str">
        <f>"670"</f>
        <v>670</v>
      </c>
      <c r="B674" t="str">
        <f t="shared" si="36"/>
        <v>102</v>
      </c>
      <c r="C674" t="str">
        <f t="shared" si="37"/>
        <v>27</v>
      </c>
      <c r="D674" t="str">
        <f>"9"</f>
        <v>9</v>
      </c>
      <c r="E674" t="str">
        <f>"102-27-9"</f>
        <v>102-27-9</v>
      </c>
      <c r="F674" t="s">
        <v>18</v>
      </c>
      <c r="G674" t="s">
        <v>19</v>
      </c>
      <c r="H674">
        <v>2</v>
      </c>
      <c r="I674">
        <v>1</v>
      </c>
      <c r="J674">
        <v>1</v>
      </c>
      <c r="K674">
        <v>0</v>
      </c>
      <c r="L674">
        <v>1</v>
      </c>
      <c r="M674">
        <v>0</v>
      </c>
      <c r="N674">
        <v>1</v>
      </c>
      <c r="O674">
        <v>0</v>
      </c>
      <c r="P674">
        <v>1</v>
      </c>
    </row>
    <row r="675" spans="1:16" x14ac:dyDescent="0.25">
      <c r="A675" t="str">
        <f>"671"</f>
        <v>671</v>
      </c>
      <c r="B675" t="str">
        <f t="shared" si="36"/>
        <v>102</v>
      </c>
      <c r="C675" t="str">
        <f t="shared" si="37"/>
        <v>27</v>
      </c>
      <c r="D675" t="str">
        <f>"19"</f>
        <v>19</v>
      </c>
      <c r="E675" t="str">
        <f>"102-27-19"</f>
        <v>102-27-19</v>
      </c>
      <c r="F675" t="s">
        <v>18</v>
      </c>
      <c r="G675" t="s">
        <v>20</v>
      </c>
      <c r="H675">
        <v>1</v>
      </c>
      <c r="K675">
        <v>1</v>
      </c>
      <c r="L675">
        <v>0</v>
      </c>
      <c r="M675">
        <v>1</v>
      </c>
      <c r="N675">
        <v>0</v>
      </c>
    </row>
    <row r="676" spans="1:16" x14ac:dyDescent="0.25">
      <c r="A676" t="str">
        <f>"672"</f>
        <v>672</v>
      </c>
      <c r="B676" t="str">
        <f t="shared" si="36"/>
        <v>102</v>
      </c>
      <c r="C676" t="str">
        <f t="shared" si="37"/>
        <v>27</v>
      </c>
      <c r="D676" t="str">
        <f>"4"</f>
        <v>4</v>
      </c>
      <c r="E676" t="str">
        <f>"102-27-4"</f>
        <v>102-27-4</v>
      </c>
      <c r="F676" t="s">
        <v>18</v>
      </c>
      <c r="G676" t="s">
        <v>19</v>
      </c>
      <c r="H676">
        <v>2</v>
      </c>
      <c r="I676">
        <v>1</v>
      </c>
      <c r="J676">
        <v>1</v>
      </c>
      <c r="K676">
        <v>1</v>
      </c>
      <c r="L676">
        <v>0</v>
      </c>
      <c r="M676">
        <v>1</v>
      </c>
      <c r="N676">
        <v>0</v>
      </c>
      <c r="O676">
        <v>1</v>
      </c>
      <c r="P676">
        <v>0</v>
      </c>
    </row>
    <row r="677" spans="1:16" x14ac:dyDescent="0.25">
      <c r="A677" t="str">
        <f>"673"</f>
        <v>673</v>
      </c>
      <c r="B677" t="str">
        <f t="shared" si="36"/>
        <v>102</v>
      </c>
      <c r="C677" t="str">
        <f t="shared" si="37"/>
        <v>27</v>
      </c>
      <c r="D677" t="str">
        <f>"20"</f>
        <v>20</v>
      </c>
      <c r="E677" t="str">
        <f>"102-27-20"</f>
        <v>102-27-20</v>
      </c>
      <c r="F677" t="s">
        <v>18</v>
      </c>
      <c r="G677" t="s">
        <v>20</v>
      </c>
      <c r="H677">
        <v>1</v>
      </c>
      <c r="K677">
        <v>1</v>
      </c>
      <c r="L677">
        <v>0</v>
      </c>
      <c r="M677">
        <v>0</v>
      </c>
      <c r="N677">
        <v>1</v>
      </c>
    </row>
    <row r="678" spans="1:16" x14ac:dyDescent="0.25">
      <c r="A678" t="str">
        <f>"674"</f>
        <v>674</v>
      </c>
      <c r="B678" t="str">
        <f t="shared" si="36"/>
        <v>102</v>
      </c>
      <c r="C678" t="str">
        <f t="shared" si="37"/>
        <v>27</v>
      </c>
      <c r="D678" t="str">
        <f>"7"</f>
        <v>7</v>
      </c>
      <c r="E678" t="str">
        <f>"102-27-7"</f>
        <v>102-27-7</v>
      </c>
      <c r="F678" t="s">
        <v>18</v>
      </c>
      <c r="G678" t="s">
        <v>19</v>
      </c>
      <c r="H678">
        <v>2</v>
      </c>
      <c r="I678">
        <v>1</v>
      </c>
      <c r="J678">
        <v>1</v>
      </c>
      <c r="K678">
        <v>0</v>
      </c>
      <c r="L678">
        <v>1</v>
      </c>
      <c r="M678">
        <v>0</v>
      </c>
      <c r="N678">
        <v>1</v>
      </c>
      <c r="O678">
        <v>1</v>
      </c>
      <c r="P678">
        <v>0</v>
      </c>
    </row>
    <row r="679" spans="1:16" x14ac:dyDescent="0.25">
      <c r="A679" t="str">
        <f>"675"</f>
        <v>675</v>
      </c>
      <c r="B679" t="str">
        <f t="shared" si="36"/>
        <v>102</v>
      </c>
      <c r="C679" t="str">
        <f t="shared" si="37"/>
        <v>27</v>
      </c>
      <c r="D679" t="str">
        <f>"15"</f>
        <v>15</v>
      </c>
      <c r="E679" t="str">
        <f>"102-27-15"</f>
        <v>102-27-15</v>
      </c>
      <c r="F679" t="s">
        <v>18</v>
      </c>
      <c r="G679" t="s">
        <v>20</v>
      </c>
      <c r="H679">
        <v>1</v>
      </c>
      <c r="K679">
        <v>0</v>
      </c>
      <c r="L679">
        <v>1</v>
      </c>
      <c r="M679">
        <v>0</v>
      </c>
      <c r="N679">
        <v>1</v>
      </c>
    </row>
    <row r="680" spans="1:16" x14ac:dyDescent="0.25">
      <c r="A680" t="str">
        <f>"676"</f>
        <v>676</v>
      </c>
      <c r="B680" t="str">
        <f t="shared" si="36"/>
        <v>102</v>
      </c>
      <c r="C680" t="str">
        <f t="shared" ref="C680:C704" si="38">"28"</f>
        <v>28</v>
      </c>
      <c r="D680" t="str">
        <f>"23"</f>
        <v>23</v>
      </c>
      <c r="E680" t="str">
        <f>"102-28-23"</f>
        <v>102-28-23</v>
      </c>
      <c r="F680" t="s">
        <v>18</v>
      </c>
      <c r="G680" t="s">
        <v>19</v>
      </c>
      <c r="H680">
        <v>2</v>
      </c>
      <c r="I680">
        <v>1</v>
      </c>
      <c r="J680">
        <v>1</v>
      </c>
      <c r="K680">
        <v>0</v>
      </c>
      <c r="L680">
        <v>1</v>
      </c>
      <c r="M680">
        <v>0</v>
      </c>
      <c r="N680">
        <v>1</v>
      </c>
      <c r="O680">
        <v>1</v>
      </c>
      <c r="P680">
        <v>0</v>
      </c>
    </row>
    <row r="681" spans="1:16" x14ac:dyDescent="0.25">
      <c r="A681" t="str">
        <f>"677"</f>
        <v>677</v>
      </c>
      <c r="B681" t="str">
        <f t="shared" si="36"/>
        <v>102</v>
      </c>
      <c r="C681" t="str">
        <f t="shared" si="38"/>
        <v>28</v>
      </c>
      <c r="D681" t="str">
        <f>"22"</f>
        <v>22</v>
      </c>
      <c r="E681" t="str">
        <f>"102-28-22"</f>
        <v>102-28-22</v>
      </c>
      <c r="F681" t="s">
        <v>18</v>
      </c>
      <c r="G681" t="s">
        <v>19</v>
      </c>
      <c r="H681">
        <v>2</v>
      </c>
      <c r="I681">
        <v>1</v>
      </c>
      <c r="J681">
        <v>1</v>
      </c>
      <c r="K681">
        <v>1</v>
      </c>
      <c r="L681">
        <v>0</v>
      </c>
      <c r="M681">
        <v>1</v>
      </c>
      <c r="N681">
        <v>0</v>
      </c>
      <c r="O681">
        <v>1</v>
      </c>
      <c r="P681">
        <v>0</v>
      </c>
    </row>
    <row r="682" spans="1:16" x14ac:dyDescent="0.25">
      <c r="A682" t="str">
        <f>"678"</f>
        <v>678</v>
      </c>
      <c r="B682" t="str">
        <f t="shared" si="36"/>
        <v>102</v>
      </c>
      <c r="C682" t="str">
        <f t="shared" si="38"/>
        <v>28</v>
      </c>
      <c r="D682" t="str">
        <f>"15"</f>
        <v>15</v>
      </c>
      <c r="E682" t="str">
        <f>"102-28-15"</f>
        <v>102-28-15</v>
      </c>
      <c r="F682" t="s">
        <v>18</v>
      </c>
      <c r="G682" t="s">
        <v>20</v>
      </c>
      <c r="H682">
        <v>1</v>
      </c>
      <c r="K682">
        <v>1</v>
      </c>
      <c r="L682">
        <v>0</v>
      </c>
      <c r="M682">
        <v>1</v>
      </c>
      <c r="N682">
        <v>0</v>
      </c>
    </row>
    <row r="683" spans="1:16" x14ac:dyDescent="0.25">
      <c r="A683" t="str">
        <f>"679"</f>
        <v>679</v>
      </c>
      <c r="B683" t="str">
        <f t="shared" si="36"/>
        <v>102</v>
      </c>
      <c r="C683" t="str">
        <f t="shared" si="38"/>
        <v>28</v>
      </c>
      <c r="D683" t="str">
        <f>"11"</f>
        <v>11</v>
      </c>
      <c r="E683" t="str">
        <f>"102-28-11"</f>
        <v>102-28-11</v>
      </c>
      <c r="F683" t="s">
        <v>18</v>
      </c>
      <c r="G683" t="s">
        <v>20</v>
      </c>
      <c r="H683">
        <v>1</v>
      </c>
      <c r="K683">
        <v>0</v>
      </c>
      <c r="L683">
        <v>1</v>
      </c>
      <c r="M683">
        <v>0</v>
      </c>
      <c r="N683">
        <v>1</v>
      </c>
    </row>
    <row r="684" spans="1:16" x14ac:dyDescent="0.25">
      <c r="A684" t="str">
        <f>"680"</f>
        <v>680</v>
      </c>
      <c r="B684" t="str">
        <f t="shared" si="36"/>
        <v>102</v>
      </c>
      <c r="C684" t="str">
        <f t="shared" si="38"/>
        <v>28</v>
      </c>
      <c r="D684" t="str">
        <f>"1"</f>
        <v>1</v>
      </c>
      <c r="E684" t="str">
        <f>"102-28-1"</f>
        <v>102-28-1</v>
      </c>
      <c r="F684" t="s">
        <v>18</v>
      </c>
      <c r="G684" t="s">
        <v>20</v>
      </c>
      <c r="H684">
        <v>1</v>
      </c>
      <c r="K684">
        <v>1</v>
      </c>
      <c r="L684">
        <v>0</v>
      </c>
      <c r="M684">
        <v>1</v>
      </c>
      <c r="N684">
        <v>0</v>
      </c>
    </row>
    <row r="685" spans="1:16" x14ac:dyDescent="0.25">
      <c r="A685" t="str">
        <f>"681"</f>
        <v>681</v>
      </c>
      <c r="B685" t="str">
        <f t="shared" si="36"/>
        <v>102</v>
      </c>
      <c r="C685" t="str">
        <f t="shared" si="38"/>
        <v>28</v>
      </c>
      <c r="D685" t="str">
        <f>"12"</f>
        <v>12</v>
      </c>
      <c r="E685" t="str">
        <f>"102-28-12"</f>
        <v>102-28-12</v>
      </c>
      <c r="F685" t="s">
        <v>18</v>
      </c>
      <c r="G685" t="s">
        <v>20</v>
      </c>
      <c r="H685">
        <v>1</v>
      </c>
      <c r="K685">
        <v>0</v>
      </c>
      <c r="L685">
        <v>1</v>
      </c>
      <c r="M685">
        <v>0</v>
      </c>
      <c r="N685">
        <v>1</v>
      </c>
    </row>
    <row r="686" spans="1:16" x14ac:dyDescent="0.25">
      <c r="A686" t="str">
        <f>"682"</f>
        <v>682</v>
      </c>
      <c r="B686" t="str">
        <f t="shared" si="36"/>
        <v>102</v>
      </c>
      <c r="C686" t="str">
        <f t="shared" si="38"/>
        <v>28</v>
      </c>
      <c r="D686" t="str">
        <f>"3"</f>
        <v>3</v>
      </c>
      <c r="E686" t="str">
        <f>"102-28-3"</f>
        <v>102-28-3</v>
      </c>
      <c r="F686" t="s">
        <v>18</v>
      </c>
      <c r="G686" t="s">
        <v>20</v>
      </c>
      <c r="H686">
        <v>1</v>
      </c>
      <c r="K686">
        <v>0</v>
      </c>
      <c r="L686">
        <v>1</v>
      </c>
      <c r="M686">
        <v>0</v>
      </c>
      <c r="N686">
        <v>1</v>
      </c>
    </row>
    <row r="687" spans="1:16" x14ac:dyDescent="0.25">
      <c r="A687" t="str">
        <f>"683"</f>
        <v>683</v>
      </c>
      <c r="B687" t="str">
        <f t="shared" si="36"/>
        <v>102</v>
      </c>
      <c r="C687" t="str">
        <f t="shared" si="38"/>
        <v>28</v>
      </c>
      <c r="D687" t="str">
        <f>"25"</f>
        <v>25</v>
      </c>
      <c r="E687" t="str">
        <f>"102-28-25"</f>
        <v>102-28-25</v>
      </c>
      <c r="F687" t="s">
        <v>18</v>
      </c>
      <c r="G687" t="s">
        <v>19</v>
      </c>
      <c r="H687">
        <v>2</v>
      </c>
      <c r="I687">
        <v>1</v>
      </c>
      <c r="J687">
        <v>1</v>
      </c>
      <c r="K687">
        <v>1</v>
      </c>
      <c r="L687">
        <v>0</v>
      </c>
      <c r="M687">
        <v>0</v>
      </c>
      <c r="N687">
        <v>1</v>
      </c>
      <c r="O687">
        <v>1</v>
      </c>
      <c r="P687">
        <v>0</v>
      </c>
    </row>
    <row r="688" spans="1:16" x14ac:dyDescent="0.25">
      <c r="A688" t="str">
        <f>"684"</f>
        <v>684</v>
      </c>
      <c r="B688" t="str">
        <f t="shared" si="36"/>
        <v>102</v>
      </c>
      <c r="C688" t="str">
        <f t="shared" si="38"/>
        <v>28</v>
      </c>
      <c r="D688" t="str">
        <f>"13"</f>
        <v>13</v>
      </c>
      <c r="E688" t="str">
        <f>"102-28-13"</f>
        <v>102-28-13</v>
      </c>
      <c r="F688" t="s">
        <v>18</v>
      </c>
      <c r="G688" t="s">
        <v>20</v>
      </c>
      <c r="H688">
        <v>1</v>
      </c>
      <c r="K688">
        <v>0</v>
      </c>
      <c r="L688">
        <v>1</v>
      </c>
      <c r="M688">
        <v>0</v>
      </c>
      <c r="N688">
        <v>1</v>
      </c>
    </row>
    <row r="689" spans="1:16" x14ac:dyDescent="0.25">
      <c r="A689" t="str">
        <f>"685"</f>
        <v>685</v>
      </c>
      <c r="B689" t="str">
        <f t="shared" si="36"/>
        <v>102</v>
      </c>
      <c r="C689" t="str">
        <f t="shared" si="38"/>
        <v>28</v>
      </c>
      <c r="D689" t="str">
        <f>"4"</f>
        <v>4</v>
      </c>
      <c r="E689" t="str">
        <f>"102-28-4"</f>
        <v>102-28-4</v>
      </c>
      <c r="F689" t="s">
        <v>18</v>
      </c>
      <c r="G689" t="s">
        <v>20</v>
      </c>
      <c r="H689">
        <v>1</v>
      </c>
      <c r="K689">
        <v>0</v>
      </c>
      <c r="L689">
        <v>1</v>
      </c>
      <c r="M689">
        <v>0</v>
      </c>
      <c r="N689">
        <v>1</v>
      </c>
    </row>
    <row r="690" spans="1:16" x14ac:dyDescent="0.25">
      <c r="A690" t="str">
        <f>"686"</f>
        <v>686</v>
      </c>
      <c r="B690" t="str">
        <f t="shared" si="36"/>
        <v>102</v>
      </c>
      <c r="C690" t="str">
        <f t="shared" si="38"/>
        <v>28</v>
      </c>
      <c r="D690" t="str">
        <f>"24"</f>
        <v>24</v>
      </c>
      <c r="E690" t="str">
        <f>"102-28-24"</f>
        <v>102-28-24</v>
      </c>
      <c r="F690" t="s">
        <v>18</v>
      </c>
      <c r="G690" t="s">
        <v>19</v>
      </c>
      <c r="H690">
        <v>2</v>
      </c>
      <c r="I690">
        <v>0</v>
      </c>
      <c r="J690">
        <v>1</v>
      </c>
      <c r="K690">
        <v>0</v>
      </c>
      <c r="L690">
        <v>1</v>
      </c>
      <c r="M690">
        <v>0</v>
      </c>
      <c r="N690">
        <v>1</v>
      </c>
      <c r="O690">
        <v>1</v>
      </c>
      <c r="P690">
        <v>0</v>
      </c>
    </row>
    <row r="691" spans="1:16" x14ac:dyDescent="0.25">
      <c r="A691" t="str">
        <f>"687"</f>
        <v>687</v>
      </c>
      <c r="B691" t="str">
        <f t="shared" si="36"/>
        <v>102</v>
      </c>
      <c r="C691" t="str">
        <f t="shared" si="38"/>
        <v>28</v>
      </c>
      <c r="D691" t="str">
        <f>"14"</f>
        <v>14</v>
      </c>
      <c r="E691" t="str">
        <f>"102-28-14"</f>
        <v>102-28-14</v>
      </c>
      <c r="F691" t="s">
        <v>18</v>
      </c>
      <c r="G691" t="s">
        <v>20</v>
      </c>
      <c r="H691">
        <v>1</v>
      </c>
      <c r="K691">
        <v>0</v>
      </c>
      <c r="L691">
        <v>1</v>
      </c>
      <c r="M691">
        <v>0</v>
      </c>
      <c r="N691">
        <v>1</v>
      </c>
    </row>
    <row r="692" spans="1:16" x14ac:dyDescent="0.25">
      <c r="A692" t="str">
        <f>"688"</f>
        <v>688</v>
      </c>
      <c r="B692" t="str">
        <f t="shared" si="36"/>
        <v>102</v>
      </c>
      <c r="C692" t="str">
        <f t="shared" si="38"/>
        <v>28</v>
      </c>
      <c r="D692" t="str">
        <f>"7"</f>
        <v>7</v>
      </c>
      <c r="E692" t="str">
        <f>"102-28-7"</f>
        <v>102-28-7</v>
      </c>
      <c r="F692" t="s">
        <v>18</v>
      </c>
      <c r="G692" t="s">
        <v>20</v>
      </c>
      <c r="H692">
        <v>1</v>
      </c>
      <c r="K692">
        <v>1</v>
      </c>
      <c r="L692">
        <v>0</v>
      </c>
      <c r="M692">
        <v>0</v>
      </c>
      <c r="N692">
        <v>1</v>
      </c>
    </row>
    <row r="693" spans="1:16" x14ac:dyDescent="0.25">
      <c r="A693" t="str">
        <f>"689"</f>
        <v>689</v>
      </c>
      <c r="B693" t="str">
        <f t="shared" si="36"/>
        <v>102</v>
      </c>
      <c r="C693" t="str">
        <f t="shared" si="38"/>
        <v>28</v>
      </c>
      <c r="D693" t="str">
        <f>"16"</f>
        <v>16</v>
      </c>
      <c r="E693" t="str">
        <f>"102-28-16"</f>
        <v>102-28-16</v>
      </c>
      <c r="F693" t="s">
        <v>18</v>
      </c>
      <c r="G693" t="s">
        <v>20</v>
      </c>
      <c r="H693">
        <v>1</v>
      </c>
      <c r="K693">
        <v>0</v>
      </c>
      <c r="L693">
        <v>1</v>
      </c>
      <c r="M693">
        <v>0</v>
      </c>
      <c r="N693">
        <v>1</v>
      </c>
    </row>
    <row r="694" spans="1:16" x14ac:dyDescent="0.25">
      <c r="A694" t="str">
        <f>"690"</f>
        <v>690</v>
      </c>
      <c r="B694" t="str">
        <f t="shared" si="36"/>
        <v>102</v>
      </c>
      <c r="C694" t="str">
        <f t="shared" si="38"/>
        <v>28</v>
      </c>
      <c r="D694" t="str">
        <f>"6"</f>
        <v>6</v>
      </c>
      <c r="E694" t="str">
        <f>"102-28-6"</f>
        <v>102-28-6</v>
      </c>
      <c r="F694" t="s">
        <v>18</v>
      </c>
      <c r="G694" t="s">
        <v>20</v>
      </c>
      <c r="H694">
        <v>1</v>
      </c>
      <c r="K694">
        <v>0</v>
      </c>
      <c r="L694">
        <v>1</v>
      </c>
      <c r="M694">
        <v>0</v>
      </c>
      <c r="N694">
        <v>1</v>
      </c>
    </row>
    <row r="695" spans="1:16" x14ac:dyDescent="0.25">
      <c r="A695" t="str">
        <f>"691"</f>
        <v>691</v>
      </c>
      <c r="B695" t="str">
        <f t="shared" si="36"/>
        <v>102</v>
      </c>
      <c r="C695" t="str">
        <f t="shared" si="38"/>
        <v>28</v>
      </c>
      <c r="D695" t="str">
        <f>"17"</f>
        <v>17</v>
      </c>
      <c r="E695" t="str">
        <f>"102-28-17"</f>
        <v>102-28-17</v>
      </c>
      <c r="F695" t="s">
        <v>18</v>
      </c>
      <c r="G695" t="s">
        <v>20</v>
      </c>
      <c r="H695">
        <v>1</v>
      </c>
      <c r="K695">
        <v>0</v>
      </c>
      <c r="L695">
        <v>1</v>
      </c>
      <c r="M695">
        <v>0</v>
      </c>
      <c r="N695">
        <v>1</v>
      </c>
    </row>
    <row r="696" spans="1:16" x14ac:dyDescent="0.25">
      <c r="A696" t="str">
        <f>"692"</f>
        <v>692</v>
      </c>
      <c r="B696" t="str">
        <f t="shared" si="36"/>
        <v>102</v>
      </c>
      <c r="C696" t="str">
        <f t="shared" si="38"/>
        <v>28</v>
      </c>
      <c r="D696" t="str">
        <f>"2"</f>
        <v>2</v>
      </c>
      <c r="E696" t="str">
        <f>"102-28-2"</f>
        <v>102-28-2</v>
      </c>
      <c r="F696" t="s">
        <v>18</v>
      </c>
      <c r="G696" t="s">
        <v>20</v>
      </c>
      <c r="H696">
        <v>1</v>
      </c>
      <c r="K696">
        <v>1</v>
      </c>
      <c r="L696">
        <v>0</v>
      </c>
      <c r="M696">
        <v>1</v>
      </c>
      <c r="N696">
        <v>0</v>
      </c>
    </row>
    <row r="697" spans="1:16" x14ac:dyDescent="0.25">
      <c r="A697" t="str">
        <f>"693"</f>
        <v>693</v>
      </c>
      <c r="B697" t="str">
        <f t="shared" si="36"/>
        <v>102</v>
      </c>
      <c r="C697" t="str">
        <f t="shared" si="38"/>
        <v>28</v>
      </c>
      <c r="D697" t="str">
        <f>"18"</f>
        <v>18</v>
      </c>
      <c r="E697" t="str">
        <f>"102-28-18"</f>
        <v>102-28-18</v>
      </c>
      <c r="F697" t="s">
        <v>18</v>
      </c>
      <c r="G697" t="s">
        <v>20</v>
      </c>
      <c r="H697">
        <v>1</v>
      </c>
      <c r="K697">
        <v>0</v>
      </c>
      <c r="L697">
        <v>1</v>
      </c>
      <c r="M697">
        <v>0</v>
      </c>
      <c r="N697">
        <v>1</v>
      </c>
    </row>
    <row r="698" spans="1:16" x14ac:dyDescent="0.25">
      <c r="A698" t="str">
        <f>"694"</f>
        <v>694</v>
      </c>
      <c r="B698" t="str">
        <f t="shared" si="36"/>
        <v>102</v>
      </c>
      <c r="C698" t="str">
        <f t="shared" si="38"/>
        <v>28</v>
      </c>
      <c r="D698" t="str">
        <f>"10"</f>
        <v>10</v>
      </c>
      <c r="E698" t="str">
        <f>"102-28-10"</f>
        <v>102-28-10</v>
      </c>
      <c r="F698" t="s">
        <v>18</v>
      </c>
      <c r="G698" t="s">
        <v>20</v>
      </c>
      <c r="H698">
        <v>1</v>
      </c>
      <c r="K698">
        <v>0</v>
      </c>
      <c r="L698">
        <v>1</v>
      </c>
      <c r="M698">
        <v>0</v>
      </c>
      <c r="N698">
        <v>1</v>
      </c>
    </row>
    <row r="699" spans="1:16" x14ac:dyDescent="0.25">
      <c r="A699" t="str">
        <f>"695"</f>
        <v>695</v>
      </c>
      <c r="B699" t="str">
        <f t="shared" si="36"/>
        <v>102</v>
      </c>
      <c r="C699" t="str">
        <f t="shared" si="38"/>
        <v>28</v>
      </c>
      <c r="D699" t="str">
        <f>"19"</f>
        <v>19</v>
      </c>
      <c r="E699" t="str">
        <f>"102-28-19"</f>
        <v>102-28-19</v>
      </c>
      <c r="F699" t="s">
        <v>18</v>
      </c>
      <c r="G699" t="s">
        <v>20</v>
      </c>
      <c r="H699">
        <v>1</v>
      </c>
      <c r="K699">
        <v>0</v>
      </c>
      <c r="L699">
        <v>1</v>
      </c>
      <c r="M699">
        <v>0</v>
      </c>
      <c r="N699">
        <v>1</v>
      </c>
    </row>
    <row r="700" spans="1:16" x14ac:dyDescent="0.25">
      <c r="A700" t="str">
        <f>"696"</f>
        <v>696</v>
      </c>
      <c r="B700" t="str">
        <f t="shared" si="36"/>
        <v>102</v>
      </c>
      <c r="C700" t="str">
        <f t="shared" si="38"/>
        <v>28</v>
      </c>
      <c r="D700" t="str">
        <f>"5"</f>
        <v>5</v>
      </c>
      <c r="E700" t="str">
        <f>"102-28-5"</f>
        <v>102-28-5</v>
      </c>
      <c r="F700" t="s">
        <v>18</v>
      </c>
      <c r="G700" t="s">
        <v>20</v>
      </c>
      <c r="H700">
        <v>1</v>
      </c>
      <c r="K700">
        <v>0</v>
      </c>
      <c r="L700">
        <v>1</v>
      </c>
      <c r="M700">
        <v>0</v>
      </c>
      <c r="N700">
        <v>1</v>
      </c>
    </row>
    <row r="701" spans="1:16" x14ac:dyDescent="0.25">
      <c r="A701" t="str">
        <f>"697"</f>
        <v>697</v>
      </c>
      <c r="B701" t="str">
        <f t="shared" si="36"/>
        <v>102</v>
      </c>
      <c r="C701" t="str">
        <f t="shared" si="38"/>
        <v>28</v>
      </c>
      <c r="D701" t="str">
        <f>"20"</f>
        <v>20</v>
      </c>
      <c r="E701" t="str">
        <f>"102-28-20"</f>
        <v>102-28-20</v>
      </c>
      <c r="F701" t="s">
        <v>18</v>
      </c>
      <c r="G701" t="s">
        <v>19</v>
      </c>
      <c r="H701">
        <v>2</v>
      </c>
      <c r="I701">
        <v>0</v>
      </c>
      <c r="J701">
        <v>1</v>
      </c>
      <c r="K701">
        <v>0</v>
      </c>
      <c r="L701">
        <v>1</v>
      </c>
      <c r="M701">
        <v>0</v>
      </c>
      <c r="N701">
        <v>1</v>
      </c>
      <c r="O701">
        <v>1</v>
      </c>
      <c r="P701">
        <v>0</v>
      </c>
    </row>
    <row r="702" spans="1:16" x14ac:dyDescent="0.25">
      <c r="A702" t="str">
        <f>"698"</f>
        <v>698</v>
      </c>
      <c r="B702" t="str">
        <f t="shared" si="36"/>
        <v>102</v>
      </c>
      <c r="C702" t="str">
        <f t="shared" si="38"/>
        <v>28</v>
      </c>
      <c r="D702" t="str">
        <f>"9"</f>
        <v>9</v>
      </c>
      <c r="E702" t="str">
        <f>"102-28-9"</f>
        <v>102-28-9</v>
      </c>
      <c r="F702" t="s">
        <v>18</v>
      </c>
      <c r="G702" t="s">
        <v>20</v>
      </c>
      <c r="H702">
        <v>1</v>
      </c>
      <c r="K702">
        <v>0</v>
      </c>
      <c r="L702">
        <v>1</v>
      </c>
      <c r="M702">
        <v>0</v>
      </c>
      <c r="N702">
        <v>1</v>
      </c>
    </row>
    <row r="703" spans="1:16" x14ac:dyDescent="0.25">
      <c r="A703" t="str">
        <f>"699"</f>
        <v>699</v>
      </c>
      <c r="B703" t="str">
        <f t="shared" si="36"/>
        <v>102</v>
      </c>
      <c r="C703" t="str">
        <f t="shared" si="38"/>
        <v>28</v>
      </c>
      <c r="D703" t="str">
        <f>"21"</f>
        <v>21</v>
      </c>
      <c r="E703" t="str">
        <f>"102-28-21"</f>
        <v>102-28-21</v>
      </c>
      <c r="F703" t="s">
        <v>18</v>
      </c>
      <c r="G703" t="s">
        <v>19</v>
      </c>
      <c r="H703">
        <v>2</v>
      </c>
      <c r="I703">
        <v>0</v>
      </c>
      <c r="J703">
        <v>0</v>
      </c>
      <c r="K703">
        <v>1</v>
      </c>
      <c r="L703">
        <v>0</v>
      </c>
      <c r="M703">
        <v>1</v>
      </c>
      <c r="N703">
        <v>0</v>
      </c>
      <c r="O703">
        <v>1</v>
      </c>
      <c r="P703">
        <v>0</v>
      </c>
    </row>
    <row r="704" spans="1:16" x14ac:dyDescent="0.25">
      <c r="A704" t="str">
        <f>"700"</f>
        <v>700</v>
      </c>
      <c r="B704" t="str">
        <f t="shared" si="36"/>
        <v>102</v>
      </c>
      <c r="C704" t="str">
        <f t="shared" si="38"/>
        <v>28</v>
      </c>
      <c r="D704" t="str">
        <f>"8"</f>
        <v>8</v>
      </c>
      <c r="E704" t="str">
        <f>"102-28-8"</f>
        <v>102-28-8</v>
      </c>
      <c r="F704" t="s">
        <v>18</v>
      </c>
      <c r="G704" t="s">
        <v>20</v>
      </c>
      <c r="H704">
        <v>1</v>
      </c>
      <c r="K704">
        <v>0</v>
      </c>
      <c r="L704">
        <v>1</v>
      </c>
      <c r="M704">
        <v>0</v>
      </c>
      <c r="N704">
        <v>1</v>
      </c>
    </row>
    <row r="705" spans="1:16" x14ac:dyDescent="0.25">
      <c r="A705" t="str">
        <f>"701"</f>
        <v>701</v>
      </c>
      <c r="B705" t="str">
        <f t="shared" si="36"/>
        <v>102</v>
      </c>
      <c r="C705" t="str">
        <f t="shared" ref="C705:C729" si="39">"29"</f>
        <v>29</v>
      </c>
      <c r="D705" t="str">
        <f>"21"</f>
        <v>21</v>
      </c>
      <c r="E705" t="str">
        <f>"102-29-21"</f>
        <v>102-29-21</v>
      </c>
      <c r="F705" t="s">
        <v>18</v>
      </c>
      <c r="G705" t="s">
        <v>20</v>
      </c>
      <c r="H705">
        <v>1</v>
      </c>
      <c r="K705">
        <v>0</v>
      </c>
      <c r="L705">
        <v>0</v>
      </c>
      <c r="M705">
        <v>0</v>
      </c>
      <c r="N705">
        <v>1</v>
      </c>
    </row>
    <row r="706" spans="1:16" x14ac:dyDescent="0.25">
      <c r="A706" t="str">
        <f>"702"</f>
        <v>702</v>
      </c>
      <c r="B706" t="str">
        <f t="shared" si="36"/>
        <v>102</v>
      </c>
      <c r="C706" t="str">
        <f t="shared" si="39"/>
        <v>29</v>
      </c>
      <c r="D706" t="str">
        <f>"11"</f>
        <v>11</v>
      </c>
      <c r="E706" t="str">
        <f>"102-29-11"</f>
        <v>102-29-11</v>
      </c>
      <c r="F706" t="s">
        <v>18</v>
      </c>
      <c r="G706" t="s">
        <v>20</v>
      </c>
      <c r="H706">
        <v>1</v>
      </c>
      <c r="K706">
        <v>0</v>
      </c>
      <c r="L706">
        <v>1</v>
      </c>
      <c r="M706">
        <v>0</v>
      </c>
      <c r="N706">
        <v>1</v>
      </c>
    </row>
    <row r="707" spans="1:16" x14ac:dyDescent="0.25">
      <c r="A707" t="str">
        <f>"703"</f>
        <v>703</v>
      </c>
      <c r="B707" t="str">
        <f t="shared" si="36"/>
        <v>102</v>
      </c>
      <c r="C707" t="str">
        <f t="shared" si="39"/>
        <v>29</v>
      </c>
      <c r="D707" t="str">
        <f>"3"</f>
        <v>3</v>
      </c>
      <c r="E707" t="str">
        <f>"102-29-3"</f>
        <v>102-29-3</v>
      </c>
      <c r="F707" t="s">
        <v>18</v>
      </c>
      <c r="G707" t="s">
        <v>20</v>
      </c>
      <c r="H707">
        <v>1</v>
      </c>
      <c r="K707">
        <v>0</v>
      </c>
      <c r="L707">
        <v>1</v>
      </c>
      <c r="M707">
        <v>0</v>
      </c>
      <c r="N707">
        <v>1</v>
      </c>
    </row>
    <row r="708" spans="1:16" x14ac:dyDescent="0.25">
      <c r="A708" t="str">
        <f>"704"</f>
        <v>704</v>
      </c>
      <c r="B708" t="str">
        <f t="shared" si="36"/>
        <v>102</v>
      </c>
      <c r="C708" t="str">
        <f t="shared" si="39"/>
        <v>29</v>
      </c>
      <c r="D708" t="str">
        <f>"22"</f>
        <v>22</v>
      </c>
      <c r="E708" t="str">
        <f>"102-29-22"</f>
        <v>102-29-22</v>
      </c>
      <c r="F708" t="s">
        <v>18</v>
      </c>
      <c r="G708" t="s">
        <v>19</v>
      </c>
      <c r="H708">
        <v>2</v>
      </c>
      <c r="I708">
        <v>1</v>
      </c>
      <c r="J708">
        <v>1</v>
      </c>
      <c r="K708">
        <v>0</v>
      </c>
      <c r="L708">
        <v>1</v>
      </c>
      <c r="M708">
        <v>0</v>
      </c>
      <c r="N708">
        <v>1</v>
      </c>
      <c r="O708">
        <v>1</v>
      </c>
      <c r="P708">
        <v>0</v>
      </c>
    </row>
    <row r="709" spans="1:16" x14ac:dyDescent="0.25">
      <c r="A709" t="str">
        <f>"705"</f>
        <v>705</v>
      </c>
      <c r="B709" t="str">
        <f t="shared" ref="B709:B772" si="40">"102"</f>
        <v>102</v>
      </c>
      <c r="C709" t="str">
        <f t="shared" si="39"/>
        <v>29</v>
      </c>
      <c r="D709" t="str">
        <f>"12"</f>
        <v>12</v>
      </c>
      <c r="E709" t="str">
        <f>"102-29-12"</f>
        <v>102-29-12</v>
      </c>
      <c r="F709" t="s">
        <v>18</v>
      </c>
      <c r="G709" t="s">
        <v>20</v>
      </c>
      <c r="H709">
        <v>1</v>
      </c>
      <c r="K709">
        <v>0</v>
      </c>
      <c r="L709">
        <v>1</v>
      </c>
      <c r="M709">
        <v>0</v>
      </c>
      <c r="N709">
        <v>1</v>
      </c>
    </row>
    <row r="710" spans="1:16" x14ac:dyDescent="0.25">
      <c r="A710" t="str">
        <f>"706"</f>
        <v>706</v>
      </c>
      <c r="B710" t="str">
        <f t="shared" si="40"/>
        <v>102</v>
      </c>
      <c r="C710" t="str">
        <f t="shared" si="39"/>
        <v>29</v>
      </c>
      <c r="D710" t="str">
        <f>"2"</f>
        <v>2</v>
      </c>
      <c r="E710" t="str">
        <f>"102-29-2"</f>
        <v>102-29-2</v>
      </c>
      <c r="F710" t="s">
        <v>18</v>
      </c>
      <c r="G710" t="s">
        <v>20</v>
      </c>
      <c r="H710">
        <v>1</v>
      </c>
      <c r="K710">
        <v>1</v>
      </c>
      <c r="L710">
        <v>0</v>
      </c>
      <c r="M710">
        <v>1</v>
      </c>
      <c r="N710">
        <v>0</v>
      </c>
    </row>
    <row r="711" spans="1:16" x14ac:dyDescent="0.25">
      <c r="A711" t="str">
        <f>"707"</f>
        <v>707</v>
      </c>
      <c r="B711" t="str">
        <f t="shared" si="40"/>
        <v>102</v>
      </c>
      <c r="C711" t="str">
        <f t="shared" si="39"/>
        <v>29</v>
      </c>
      <c r="D711" t="str">
        <f>"24"</f>
        <v>24</v>
      </c>
      <c r="E711" t="str">
        <f>"102-29-24"</f>
        <v>102-29-24</v>
      </c>
      <c r="F711" t="s">
        <v>18</v>
      </c>
      <c r="G711" t="s">
        <v>19</v>
      </c>
      <c r="H711">
        <v>2</v>
      </c>
      <c r="I711">
        <v>1</v>
      </c>
      <c r="J711">
        <v>1</v>
      </c>
      <c r="K711">
        <v>1</v>
      </c>
      <c r="L711">
        <v>0</v>
      </c>
      <c r="M711">
        <v>1</v>
      </c>
      <c r="N711">
        <v>0</v>
      </c>
      <c r="O711">
        <v>1</v>
      </c>
      <c r="P711">
        <v>0</v>
      </c>
    </row>
    <row r="712" spans="1:16" x14ac:dyDescent="0.25">
      <c r="A712" t="str">
        <f>"708"</f>
        <v>708</v>
      </c>
      <c r="B712" t="str">
        <f t="shared" si="40"/>
        <v>102</v>
      </c>
      <c r="C712" t="str">
        <f t="shared" si="39"/>
        <v>29</v>
      </c>
      <c r="D712" t="str">
        <f>"13"</f>
        <v>13</v>
      </c>
      <c r="E712" t="str">
        <f>"102-29-13"</f>
        <v>102-29-13</v>
      </c>
      <c r="F712" t="s">
        <v>18</v>
      </c>
      <c r="G712" t="s">
        <v>20</v>
      </c>
      <c r="H712">
        <v>1</v>
      </c>
      <c r="K712">
        <v>1</v>
      </c>
      <c r="L712">
        <v>0</v>
      </c>
      <c r="M712">
        <v>1</v>
      </c>
      <c r="N712">
        <v>0</v>
      </c>
    </row>
    <row r="713" spans="1:16" x14ac:dyDescent="0.25">
      <c r="A713" t="str">
        <f>"709"</f>
        <v>709</v>
      </c>
      <c r="B713" t="str">
        <f t="shared" si="40"/>
        <v>102</v>
      </c>
      <c r="C713" t="str">
        <f t="shared" si="39"/>
        <v>29</v>
      </c>
      <c r="D713" t="str">
        <f>"1"</f>
        <v>1</v>
      </c>
      <c r="E713" t="str">
        <f>"102-29-1"</f>
        <v>102-29-1</v>
      </c>
      <c r="F713" t="s">
        <v>18</v>
      </c>
      <c r="G713" t="s">
        <v>20</v>
      </c>
      <c r="H713">
        <v>1</v>
      </c>
      <c r="K713">
        <v>0</v>
      </c>
      <c r="L713">
        <v>1</v>
      </c>
      <c r="M713">
        <v>0</v>
      </c>
      <c r="N713">
        <v>1</v>
      </c>
    </row>
    <row r="714" spans="1:16" x14ac:dyDescent="0.25">
      <c r="A714" t="str">
        <f>"710"</f>
        <v>710</v>
      </c>
      <c r="B714" t="str">
        <f t="shared" si="40"/>
        <v>102</v>
      </c>
      <c r="C714" t="str">
        <f t="shared" si="39"/>
        <v>29</v>
      </c>
      <c r="D714" t="str">
        <f>"23"</f>
        <v>23</v>
      </c>
      <c r="E714" t="str">
        <f>"102-29-23"</f>
        <v>102-29-23</v>
      </c>
      <c r="F714" t="s">
        <v>18</v>
      </c>
      <c r="G714" t="s">
        <v>20</v>
      </c>
      <c r="H714">
        <v>1</v>
      </c>
      <c r="K714">
        <v>1</v>
      </c>
      <c r="L714">
        <v>0</v>
      </c>
      <c r="M714">
        <v>1</v>
      </c>
      <c r="N714">
        <v>0</v>
      </c>
    </row>
    <row r="715" spans="1:16" x14ac:dyDescent="0.25">
      <c r="A715" t="str">
        <f>"711"</f>
        <v>711</v>
      </c>
      <c r="B715" t="str">
        <f t="shared" si="40"/>
        <v>102</v>
      </c>
      <c r="C715" t="str">
        <f t="shared" si="39"/>
        <v>29</v>
      </c>
      <c r="D715" t="str">
        <f>"14"</f>
        <v>14</v>
      </c>
      <c r="E715" t="str">
        <f>"102-29-14"</f>
        <v>102-29-14</v>
      </c>
      <c r="F715" t="s">
        <v>18</v>
      </c>
      <c r="G715" t="s">
        <v>20</v>
      </c>
      <c r="H715">
        <v>1</v>
      </c>
      <c r="K715">
        <v>1</v>
      </c>
      <c r="L715">
        <v>0</v>
      </c>
      <c r="M715">
        <v>1</v>
      </c>
      <c r="N715">
        <v>0</v>
      </c>
    </row>
    <row r="716" spans="1:16" x14ac:dyDescent="0.25">
      <c r="A716" t="str">
        <f>"712"</f>
        <v>712</v>
      </c>
      <c r="B716" t="str">
        <f t="shared" si="40"/>
        <v>102</v>
      </c>
      <c r="C716" t="str">
        <f t="shared" si="39"/>
        <v>29</v>
      </c>
      <c r="D716" t="str">
        <f>"15"</f>
        <v>15</v>
      </c>
      <c r="E716" t="str">
        <f>"102-29-15"</f>
        <v>102-29-15</v>
      </c>
      <c r="F716" t="s">
        <v>18</v>
      </c>
      <c r="G716" t="s">
        <v>20</v>
      </c>
      <c r="H716">
        <v>1</v>
      </c>
      <c r="K716">
        <v>0</v>
      </c>
      <c r="L716">
        <v>1</v>
      </c>
      <c r="M716">
        <v>0</v>
      </c>
      <c r="N716">
        <v>1</v>
      </c>
    </row>
    <row r="717" spans="1:16" x14ac:dyDescent="0.25">
      <c r="A717" t="str">
        <f>"713"</f>
        <v>713</v>
      </c>
      <c r="B717" t="str">
        <f t="shared" si="40"/>
        <v>102</v>
      </c>
      <c r="C717" t="str">
        <f t="shared" si="39"/>
        <v>29</v>
      </c>
      <c r="D717" t="str">
        <f>"5"</f>
        <v>5</v>
      </c>
      <c r="E717" t="str">
        <f>"102-29-5"</f>
        <v>102-29-5</v>
      </c>
      <c r="F717" t="s">
        <v>18</v>
      </c>
      <c r="G717" t="s">
        <v>20</v>
      </c>
      <c r="H717">
        <v>1</v>
      </c>
      <c r="K717">
        <v>1</v>
      </c>
      <c r="L717">
        <v>0</v>
      </c>
      <c r="M717">
        <v>0</v>
      </c>
      <c r="N717">
        <v>1</v>
      </c>
    </row>
    <row r="718" spans="1:16" x14ac:dyDescent="0.25">
      <c r="A718" t="str">
        <f>"714"</f>
        <v>714</v>
      </c>
      <c r="B718" t="str">
        <f t="shared" si="40"/>
        <v>102</v>
      </c>
      <c r="C718" t="str">
        <f t="shared" si="39"/>
        <v>29</v>
      </c>
      <c r="D718" t="str">
        <f>"4"</f>
        <v>4</v>
      </c>
      <c r="E718" t="str">
        <f>"102-29-4"</f>
        <v>102-29-4</v>
      </c>
      <c r="F718" t="s">
        <v>18</v>
      </c>
      <c r="G718" t="s">
        <v>20</v>
      </c>
      <c r="H718">
        <v>1</v>
      </c>
      <c r="K718">
        <v>1</v>
      </c>
      <c r="L718">
        <v>0</v>
      </c>
      <c r="M718">
        <v>1</v>
      </c>
      <c r="N718">
        <v>0</v>
      </c>
    </row>
    <row r="719" spans="1:16" x14ac:dyDescent="0.25">
      <c r="A719" t="str">
        <f>"715"</f>
        <v>715</v>
      </c>
      <c r="B719" t="str">
        <f t="shared" si="40"/>
        <v>102</v>
      </c>
      <c r="C719" t="str">
        <f t="shared" si="39"/>
        <v>29</v>
      </c>
      <c r="D719" t="str">
        <f>"25"</f>
        <v>25</v>
      </c>
      <c r="E719" t="str">
        <f>"102-29-25"</f>
        <v>102-29-25</v>
      </c>
      <c r="F719" t="s">
        <v>18</v>
      </c>
      <c r="G719" t="s">
        <v>19</v>
      </c>
      <c r="H719">
        <v>2</v>
      </c>
      <c r="I719">
        <v>0</v>
      </c>
      <c r="J719">
        <v>1</v>
      </c>
      <c r="K719">
        <v>0</v>
      </c>
      <c r="L719">
        <v>1</v>
      </c>
      <c r="M719">
        <v>0</v>
      </c>
      <c r="N719">
        <v>1</v>
      </c>
      <c r="O719">
        <v>1</v>
      </c>
      <c r="P719">
        <v>0</v>
      </c>
    </row>
    <row r="720" spans="1:16" x14ac:dyDescent="0.25">
      <c r="A720" t="str">
        <f>"716"</f>
        <v>716</v>
      </c>
      <c r="B720" t="str">
        <f t="shared" si="40"/>
        <v>102</v>
      </c>
      <c r="C720" t="str">
        <f t="shared" si="39"/>
        <v>29</v>
      </c>
      <c r="D720" t="str">
        <f>"17"</f>
        <v>17</v>
      </c>
      <c r="E720" t="str">
        <f>"102-29-17"</f>
        <v>102-29-17</v>
      </c>
      <c r="F720" t="s">
        <v>18</v>
      </c>
      <c r="G720" t="s">
        <v>20</v>
      </c>
      <c r="H720">
        <v>1</v>
      </c>
      <c r="K720">
        <v>0</v>
      </c>
      <c r="L720">
        <v>1</v>
      </c>
      <c r="M720">
        <v>0</v>
      </c>
      <c r="N720">
        <v>1</v>
      </c>
    </row>
    <row r="721" spans="1:16" x14ac:dyDescent="0.25">
      <c r="A721" t="str">
        <f>"717"</f>
        <v>717</v>
      </c>
      <c r="B721" t="str">
        <f t="shared" si="40"/>
        <v>102</v>
      </c>
      <c r="C721" t="str">
        <f t="shared" si="39"/>
        <v>29</v>
      </c>
      <c r="D721" t="str">
        <f>"8"</f>
        <v>8</v>
      </c>
      <c r="E721" t="str">
        <f>"102-29-8"</f>
        <v>102-29-8</v>
      </c>
      <c r="F721" t="s">
        <v>18</v>
      </c>
      <c r="G721" t="s">
        <v>20</v>
      </c>
      <c r="H721">
        <v>1</v>
      </c>
      <c r="K721">
        <v>0</v>
      </c>
      <c r="L721">
        <v>1</v>
      </c>
      <c r="M721">
        <v>0</v>
      </c>
      <c r="N721">
        <v>1</v>
      </c>
    </row>
    <row r="722" spans="1:16" x14ac:dyDescent="0.25">
      <c r="A722" t="str">
        <f>"718"</f>
        <v>718</v>
      </c>
      <c r="B722" t="str">
        <f t="shared" si="40"/>
        <v>102</v>
      </c>
      <c r="C722" t="str">
        <f t="shared" si="39"/>
        <v>29</v>
      </c>
      <c r="D722" t="str">
        <f>"18"</f>
        <v>18</v>
      </c>
      <c r="E722" t="str">
        <f>"102-29-18"</f>
        <v>102-29-18</v>
      </c>
      <c r="F722" t="s">
        <v>18</v>
      </c>
      <c r="G722" t="s">
        <v>20</v>
      </c>
      <c r="H722">
        <v>1</v>
      </c>
      <c r="K722">
        <v>0</v>
      </c>
      <c r="L722">
        <v>1</v>
      </c>
      <c r="M722">
        <v>0</v>
      </c>
      <c r="N722">
        <v>1</v>
      </c>
    </row>
    <row r="723" spans="1:16" x14ac:dyDescent="0.25">
      <c r="A723" t="str">
        <f>"719"</f>
        <v>719</v>
      </c>
      <c r="B723" t="str">
        <f t="shared" si="40"/>
        <v>102</v>
      </c>
      <c r="C723" t="str">
        <f t="shared" si="39"/>
        <v>29</v>
      </c>
      <c r="D723" t="str">
        <f>"7"</f>
        <v>7</v>
      </c>
      <c r="E723" t="str">
        <f>"102-29-7"</f>
        <v>102-29-7</v>
      </c>
      <c r="F723" t="s">
        <v>18</v>
      </c>
      <c r="G723" t="s">
        <v>20</v>
      </c>
      <c r="H723">
        <v>1</v>
      </c>
      <c r="K723">
        <v>0</v>
      </c>
      <c r="L723">
        <v>1</v>
      </c>
      <c r="M723">
        <v>0</v>
      </c>
      <c r="N723">
        <v>1</v>
      </c>
    </row>
    <row r="724" spans="1:16" x14ac:dyDescent="0.25">
      <c r="A724" t="str">
        <f>"720"</f>
        <v>720</v>
      </c>
      <c r="B724" t="str">
        <f t="shared" si="40"/>
        <v>102</v>
      </c>
      <c r="C724" t="str">
        <f t="shared" si="39"/>
        <v>29</v>
      </c>
      <c r="D724" t="str">
        <f>"19"</f>
        <v>19</v>
      </c>
      <c r="E724" t="str">
        <f>"102-29-19"</f>
        <v>102-29-19</v>
      </c>
      <c r="F724" t="s">
        <v>18</v>
      </c>
      <c r="G724" t="s">
        <v>20</v>
      </c>
      <c r="H724">
        <v>1</v>
      </c>
      <c r="K724">
        <v>1</v>
      </c>
      <c r="L724">
        <v>0</v>
      </c>
      <c r="M724">
        <v>1</v>
      </c>
      <c r="N724">
        <v>0</v>
      </c>
    </row>
    <row r="725" spans="1:16" x14ac:dyDescent="0.25">
      <c r="A725" t="str">
        <f>"721"</f>
        <v>721</v>
      </c>
      <c r="B725" t="str">
        <f t="shared" si="40"/>
        <v>102</v>
      </c>
      <c r="C725" t="str">
        <f t="shared" si="39"/>
        <v>29</v>
      </c>
      <c r="D725" t="str">
        <f>"10"</f>
        <v>10</v>
      </c>
      <c r="E725" t="str">
        <f>"102-29-10"</f>
        <v>102-29-10</v>
      </c>
      <c r="F725" t="s">
        <v>18</v>
      </c>
      <c r="G725" t="s">
        <v>20</v>
      </c>
      <c r="H725">
        <v>1</v>
      </c>
      <c r="K725">
        <v>1</v>
      </c>
      <c r="L725">
        <v>0</v>
      </c>
      <c r="M725">
        <v>1</v>
      </c>
      <c r="N725">
        <v>0</v>
      </c>
    </row>
    <row r="726" spans="1:16" x14ac:dyDescent="0.25">
      <c r="A726" t="str">
        <f>"722"</f>
        <v>722</v>
      </c>
      <c r="B726" t="str">
        <f t="shared" si="40"/>
        <v>102</v>
      </c>
      <c r="C726" t="str">
        <f t="shared" si="39"/>
        <v>29</v>
      </c>
      <c r="D726" t="str">
        <f>"20"</f>
        <v>20</v>
      </c>
      <c r="E726" t="str">
        <f>"102-29-20"</f>
        <v>102-29-20</v>
      </c>
      <c r="F726" t="s">
        <v>18</v>
      </c>
      <c r="G726" t="s">
        <v>20</v>
      </c>
      <c r="H726">
        <v>1</v>
      </c>
      <c r="K726">
        <v>1</v>
      </c>
      <c r="L726">
        <v>0</v>
      </c>
      <c r="M726">
        <v>1</v>
      </c>
      <c r="N726">
        <v>0</v>
      </c>
    </row>
    <row r="727" spans="1:16" x14ac:dyDescent="0.25">
      <c r="A727" t="str">
        <f>"723"</f>
        <v>723</v>
      </c>
      <c r="B727" t="str">
        <f t="shared" si="40"/>
        <v>102</v>
      </c>
      <c r="C727" t="str">
        <f t="shared" si="39"/>
        <v>29</v>
      </c>
      <c r="D727" t="str">
        <f>"9"</f>
        <v>9</v>
      </c>
      <c r="E727" t="str">
        <f>"102-29-9"</f>
        <v>102-29-9</v>
      </c>
      <c r="F727" t="s">
        <v>18</v>
      </c>
      <c r="G727" t="s">
        <v>19</v>
      </c>
      <c r="H727">
        <v>2</v>
      </c>
      <c r="I727">
        <v>0</v>
      </c>
      <c r="J727">
        <v>1</v>
      </c>
      <c r="K727">
        <v>0</v>
      </c>
      <c r="L727">
        <v>1</v>
      </c>
      <c r="M727">
        <v>0</v>
      </c>
      <c r="N727">
        <v>1</v>
      </c>
      <c r="O727">
        <v>1</v>
      </c>
      <c r="P727">
        <v>0</v>
      </c>
    </row>
    <row r="728" spans="1:16" x14ac:dyDescent="0.25">
      <c r="A728" t="str">
        <f>"724"</f>
        <v>724</v>
      </c>
      <c r="B728" t="str">
        <f t="shared" si="40"/>
        <v>102</v>
      </c>
      <c r="C728" t="str">
        <f t="shared" si="39"/>
        <v>29</v>
      </c>
      <c r="D728" t="str">
        <f>"6"</f>
        <v>6</v>
      </c>
      <c r="E728" t="str">
        <f>"102-29-6"</f>
        <v>102-29-6</v>
      </c>
      <c r="F728" t="s">
        <v>18</v>
      </c>
      <c r="G728" t="s">
        <v>20</v>
      </c>
      <c r="H728">
        <v>1</v>
      </c>
      <c r="K728">
        <v>0</v>
      </c>
      <c r="L728">
        <v>1</v>
      </c>
      <c r="M728">
        <v>0</v>
      </c>
      <c r="N728">
        <v>1</v>
      </c>
    </row>
    <row r="729" spans="1:16" x14ac:dyDescent="0.25">
      <c r="A729" t="str">
        <f>"725"</f>
        <v>725</v>
      </c>
      <c r="B729" t="str">
        <f t="shared" si="40"/>
        <v>102</v>
      </c>
      <c r="C729" t="str">
        <f t="shared" si="39"/>
        <v>29</v>
      </c>
      <c r="D729" t="str">
        <f>"16"</f>
        <v>16</v>
      </c>
      <c r="E729" t="str">
        <f>"102-29-16"</f>
        <v>102-29-16</v>
      </c>
      <c r="F729" t="s">
        <v>18</v>
      </c>
      <c r="G729" t="s">
        <v>19</v>
      </c>
      <c r="H729">
        <v>2</v>
      </c>
      <c r="I729">
        <v>1</v>
      </c>
      <c r="J729">
        <v>1</v>
      </c>
      <c r="K729">
        <v>1</v>
      </c>
      <c r="L729">
        <v>0</v>
      </c>
      <c r="M729">
        <v>0</v>
      </c>
      <c r="N729">
        <v>1</v>
      </c>
      <c r="O729">
        <v>1</v>
      </c>
      <c r="P729">
        <v>0</v>
      </c>
    </row>
    <row r="730" spans="1:16" x14ac:dyDescent="0.25">
      <c r="A730" t="str">
        <f>"726"</f>
        <v>726</v>
      </c>
      <c r="B730" t="str">
        <f t="shared" si="40"/>
        <v>102</v>
      </c>
      <c r="C730" t="str">
        <f t="shared" ref="C730:C754" si="41">"30"</f>
        <v>30</v>
      </c>
      <c r="D730" t="str">
        <f>"21"</f>
        <v>21</v>
      </c>
      <c r="E730" t="str">
        <f>"102-30-21"</f>
        <v>102-30-21</v>
      </c>
      <c r="F730" t="s">
        <v>18</v>
      </c>
      <c r="G730" t="s">
        <v>20</v>
      </c>
      <c r="H730">
        <v>1</v>
      </c>
      <c r="K730">
        <v>0</v>
      </c>
      <c r="L730">
        <v>1</v>
      </c>
      <c r="M730">
        <v>0</v>
      </c>
      <c r="N730">
        <v>1</v>
      </c>
    </row>
    <row r="731" spans="1:16" x14ac:dyDescent="0.25">
      <c r="A731" t="str">
        <f>"727"</f>
        <v>727</v>
      </c>
      <c r="B731" t="str">
        <f t="shared" si="40"/>
        <v>102</v>
      </c>
      <c r="C731" t="str">
        <f t="shared" si="41"/>
        <v>30</v>
      </c>
      <c r="D731" t="str">
        <f>"11"</f>
        <v>11</v>
      </c>
      <c r="E731" t="str">
        <f>"102-30-11"</f>
        <v>102-30-11</v>
      </c>
      <c r="F731" t="s">
        <v>18</v>
      </c>
      <c r="G731" t="s">
        <v>20</v>
      </c>
      <c r="H731">
        <v>1</v>
      </c>
      <c r="K731">
        <v>0</v>
      </c>
      <c r="L731">
        <v>1</v>
      </c>
      <c r="M731">
        <v>0</v>
      </c>
      <c r="N731">
        <v>1</v>
      </c>
    </row>
    <row r="732" spans="1:16" x14ac:dyDescent="0.25">
      <c r="A732" t="str">
        <f>"728"</f>
        <v>728</v>
      </c>
      <c r="B732" t="str">
        <f t="shared" si="40"/>
        <v>102</v>
      </c>
      <c r="C732" t="str">
        <f t="shared" si="41"/>
        <v>30</v>
      </c>
      <c r="D732" t="str">
        <f>"2"</f>
        <v>2</v>
      </c>
      <c r="E732" t="str">
        <f>"102-30-2"</f>
        <v>102-30-2</v>
      </c>
      <c r="F732" t="s">
        <v>18</v>
      </c>
      <c r="G732" t="s">
        <v>20</v>
      </c>
      <c r="H732">
        <v>1</v>
      </c>
      <c r="K732">
        <v>0</v>
      </c>
      <c r="L732">
        <v>1</v>
      </c>
      <c r="M732">
        <v>0</v>
      </c>
      <c r="N732">
        <v>1</v>
      </c>
    </row>
    <row r="733" spans="1:16" x14ac:dyDescent="0.25">
      <c r="A733" t="str">
        <f>"729"</f>
        <v>729</v>
      </c>
      <c r="B733" t="str">
        <f t="shared" si="40"/>
        <v>102</v>
      </c>
      <c r="C733" t="str">
        <f t="shared" si="41"/>
        <v>30</v>
      </c>
      <c r="D733" t="str">
        <f>"12"</f>
        <v>12</v>
      </c>
      <c r="E733" t="str">
        <f>"102-30-12"</f>
        <v>102-30-12</v>
      </c>
      <c r="F733" t="s">
        <v>18</v>
      </c>
      <c r="G733" t="s">
        <v>19</v>
      </c>
      <c r="H733">
        <v>2</v>
      </c>
      <c r="I733">
        <v>1</v>
      </c>
      <c r="J733">
        <v>1</v>
      </c>
      <c r="K733">
        <v>1</v>
      </c>
      <c r="L733">
        <v>0</v>
      </c>
      <c r="M733">
        <v>1</v>
      </c>
      <c r="N733">
        <v>0</v>
      </c>
      <c r="O733">
        <v>1</v>
      </c>
      <c r="P733">
        <v>0</v>
      </c>
    </row>
    <row r="734" spans="1:16" x14ac:dyDescent="0.25">
      <c r="A734" t="str">
        <f>"730"</f>
        <v>730</v>
      </c>
      <c r="B734" t="str">
        <f t="shared" si="40"/>
        <v>102</v>
      </c>
      <c r="C734" t="str">
        <f t="shared" si="41"/>
        <v>30</v>
      </c>
      <c r="D734" t="str">
        <f>"6"</f>
        <v>6</v>
      </c>
      <c r="E734" t="str">
        <f>"102-30-6"</f>
        <v>102-30-6</v>
      </c>
      <c r="F734" t="s">
        <v>18</v>
      </c>
      <c r="G734" t="s">
        <v>19</v>
      </c>
      <c r="H734">
        <v>2</v>
      </c>
      <c r="I734">
        <v>1</v>
      </c>
      <c r="J734">
        <v>1</v>
      </c>
      <c r="K734">
        <v>1</v>
      </c>
      <c r="L734">
        <v>0</v>
      </c>
      <c r="M734">
        <v>1</v>
      </c>
      <c r="N734">
        <v>0</v>
      </c>
      <c r="O734">
        <v>1</v>
      </c>
      <c r="P734">
        <v>0</v>
      </c>
    </row>
    <row r="735" spans="1:16" x14ac:dyDescent="0.25">
      <c r="A735" t="str">
        <f>"731"</f>
        <v>731</v>
      </c>
      <c r="B735" t="str">
        <f t="shared" si="40"/>
        <v>102</v>
      </c>
      <c r="C735" t="str">
        <f t="shared" si="41"/>
        <v>30</v>
      </c>
      <c r="D735" t="str">
        <f>"24"</f>
        <v>24</v>
      </c>
      <c r="E735" t="str">
        <f>"102-30-24"</f>
        <v>102-30-24</v>
      </c>
      <c r="F735" t="s">
        <v>18</v>
      </c>
      <c r="G735" t="s">
        <v>20</v>
      </c>
      <c r="H735">
        <v>1</v>
      </c>
      <c r="K735">
        <v>1</v>
      </c>
      <c r="L735">
        <v>0</v>
      </c>
      <c r="M735">
        <v>1</v>
      </c>
      <c r="N735">
        <v>0</v>
      </c>
    </row>
    <row r="736" spans="1:16" x14ac:dyDescent="0.25">
      <c r="A736" t="str">
        <f>"732"</f>
        <v>732</v>
      </c>
      <c r="B736" t="str">
        <f t="shared" si="40"/>
        <v>102</v>
      </c>
      <c r="C736" t="str">
        <f t="shared" si="41"/>
        <v>30</v>
      </c>
      <c r="D736" t="str">
        <f>"13"</f>
        <v>13</v>
      </c>
      <c r="E736" t="str">
        <f>"102-30-13"</f>
        <v>102-30-13</v>
      </c>
      <c r="F736" t="s">
        <v>18</v>
      </c>
      <c r="G736" t="s">
        <v>20</v>
      </c>
      <c r="H736">
        <v>1</v>
      </c>
      <c r="K736">
        <v>0</v>
      </c>
      <c r="L736">
        <v>1</v>
      </c>
      <c r="M736">
        <v>0</v>
      </c>
      <c r="N736">
        <v>1</v>
      </c>
    </row>
    <row r="737" spans="1:16" x14ac:dyDescent="0.25">
      <c r="A737" t="str">
        <f>"733"</f>
        <v>733</v>
      </c>
      <c r="B737" t="str">
        <f t="shared" si="40"/>
        <v>102</v>
      </c>
      <c r="C737" t="str">
        <f t="shared" si="41"/>
        <v>30</v>
      </c>
      <c r="D737" t="str">
        <f>"10"</f>
        <v>10</v>
      </c>
      <c r="E737" t="str">
        <f>"102-30-10"</f>
        <v>102-30-10</v>
      </c>
      <c r="F737" t="s">
        <v>18</v>
      </c>
      <c r="G737" t="s">
        <v>19</v>
      </c>
      <c r="H737">
        <v>2</v>
      </c>
      <c r="I737">
        <v>1</v>
      </c>
      <c r="J737">
        <v>1</v>
      </c>
      <c r="K737">
        <v>0</v>
      </c>
      <c r="L737">
        <v>1</v>
      </c>
      <c r="M737">
        <v>0</v>
      </c>
      <c r="N737">
        <v>1</v>
      </c>
      <c r="O737">
        <v>1</v>
      </c>
      <c r="P737">
        <v>0</v>
      </c>
    </row>
    <row r="738" spans="1:16" x14ac:dyDescent="0.25">
      <c r="A738" t="str">
        <f>"734"</f>
        <v>734</v>
      </c>
      <c r="B738" t="str">
        <f t="shared" si="40"/>
        <v>102</v>
      </c>
      <c r="C738" t="str">
        <f t="shared" si="41"/>
        <v>30</v>
      </c>
      <c r="D738" t="str">
        <f>"22"</f>
        <v>22</v>
      </c>
      <c r="E738" t="str">
        <f>"102-30-22"</f>
        <v>102-30-22</v>
      </c>
      <c r="F738" t="s">
        <v>18</v>
      </c>
      <c r="G738" t="s">
        <v>20</v>
      </c>
      <c r="H738">
        <v>1</v>
      </c>
      <c r="K738">
        <v>0</v>
      </c>
      <c r="L738">
        <v>1</v>
      </c>
      <c r="M738">
        <v>0</v>
      </c>
      <c r="N738">
        <v>1</v>
      </c>
    </row>
    <row r="739" spans="1:16" x14ac:dyDescent="0.25">
      <c r="A739" t="str">
        <f>"735"</f>
        <v>735</v>
      </c>
      <c r="B739" t="str">
        <f t="shared" si="40"/>
        <v>102</v>
      </c>
      <c r="C739" t="str">
        <f t="shared" si="41"/>
        <v>30</v>
      </c>
      <c r="D739" t="str">
        <f>"14"</f>
        <v>14</v>
      </c>
      <c r="E739" t="str">
        <f>"102-30-14"</f>
        <v>102-30-14</v>
      </c>
      <c r="F739" t="s">
        <v>18</v>
      </c>
      <c r="G739" t="s">
        <v>20</v>
      </c>
      <c r="H739">
        <v>1</v>
      </c>
      <c r="K739">
        <v>1</v>
      </c>
      <c r="L739">
        <v>0</v>
      </c>
      <c r="M739">
        <v>1</v>
      </c>
      <c r="N739">
        <v>0</v>
      </c>
    </row>
    <row r="740" spans="1:16" x14ac:dyDescent="0.25">
      <c r="A740" t="str">
        <f>"736"</f>
        <v>736</v>
      </c>
      <c r="B740" t="str">
        <f t="shared" si="40"/>
        <v>102</v>
      </c>
      <c r="C740" t="str">
        <f t="shared" si="41"/>
        <v>30</v>
      </c>
      <c r="D740" t="str">
        <f>"7"</f>
        <v>7</v>
      </c>
      <c r="E740" t="str">
        <f>"102-30-7"</f>
        <v>102-30-7</v>
      </c>
      <c r="F740" t="s">
        <v>18</v>
      </c>
      <c r="G740" t="s">
        <v>19</v>
      </c>
      <c r="H740">
        <v>2</v>
      </c>
      <c r="I740">
        <v>0</v>
      </c>
      <c r="J740">
        <v>0</v>
      </c>
      <c r="K740">
        <v>1</v>
      </c>
      <c r="L740">
        <v>0</v>
      </c>
      <c r="M740">
        <v>1</v>
      </c>
      <c r="N740">
        <v>0</v>
      </c>
      <c r="O740">
        <v>1</v>
      </c>
      <c r="P740">
        <v>0</v>
      </c>
    </row>
    <row r="741" spans="1:16" x14ac:dyDescent="0.25">
      <c r="A741" t="str">
        <f>"737"</f>
        <v>737</v>
      </c>
      <c r="B741" t="str">
        <f t="shared" si="40"/>
        <v>102</v>
      </c>
      <c r="C741" t="str">
        <f t="shared" si="41"/>
        <v>30</v>
      </c>
      <c r="D741" t="str">
        <f>"15"</f>
        <v>15</v>
      </c>
      <c r="E741" t="str">
        <f>"102-30-15"</f>
        <v>102-30-15</v>
      </c>
      <c r="F741" t="s">
        <v>18</v>
      </c>
      <c r="G741" t="s">
        <v>20</v>
      </c>
      <c r="H741">
        <v>1</v>
      </c>
      <c r="K741">
        <v>0</v>
      </c>
      <c r="L741">
        <v>1</v>
      </c>
      <c r="M741">
        <v>0</v>
      </c>
      <c r="N741">
        <v>1</v>
      </c>
    </row>
    <row r="742" spans="1:16" x14ac:dyDescent="0.25">
      <c r="A742" t="str">
        <f>"738"</f>
        <v>738</v>
      </c>
      <c r="B742" t="str">
        <f t="shared" si="40"/>
        <v>102</v>
      </c>
      <c r="C742" t="str">
        <f t="shared" si="41"/>
        <v>30</v>
      </c>
      <c r="D742" t="str">
        <f>"3"</f>
        <v>3</v>
      </c>
      <c r="E742" t="str">
        <f>"102-30-3"</f>
        <v>102-30-3</v>
      </c>
      <c r="F742" t="s">
        <v>18</v>
      </c>
      <c r="G742" t="s">
        <v>19</v>
      </c>
      <c r="H742">
        <v>2</v>
      </c>
      <c r="I742">
        <v>1</v>
      </c>
      <c r="J742">
        <v>1</v>
      </c>
      <c r="K742">
        <v>1</v>
      </c>
      <c r="L742">
        <v>0</v>
      </c>
      <c r="M742">
        <v>1</v>
      </c>
      <c r="N742">
        <v>0</v>
      </c>
      <c r="O742">
        <v>1</v>
      </c>
      <c r="P742">
        <v>0</v>
      </c>
    </row>
    <row r="743" spans="1:16" x14ac:dyDescent="0.25">
      <c r="A743" t="str">
        <f>"739"</f>
        <v>739</v>
      </c>
      <c r="B743" t="str">
        <f t="shared" si="40"/>
        <v>102</v>
      </c>
      <c r="C743" t="str">
        <f t="shared" si="41"/>
        <v>30</v>
      </c>
      <c r="D743" t="str">
        <f>"25"</f>
        <v>25</v>
      </c>
      <c r="E743" t="str">
        <f>"102-30-25"</f>
        <v>102-30-25</v>
      </c>
      <c r="F743" t="s">
        <v>18</v>
      </c>
      <c r="G743" t="s">
        <v>20</v>
      </c>
      <c r="H743">
        <v>1</v>
      </c>
      <c r="K743">
        <v>1</v>
      </c>
      <c r="L743">
        <v>0</v>
      </c>
      <c r="M743">
        <v>1</v>
      </c>
      <c r="N743">
        <v>0</v>
      </c>
    </row>
    <row r="744" spans="1:16" x14ac:dyDescent="0.25">
      <c r="A744" t="str">
        <f>"740"</f>
        <v>740</v>
      </c>
      <c r="B744" t="str">
        <f t="shared" si="40"/>
        <v>102</v>
      </c>
      <c r="C744" t="str">
        <f t="shared" si="41"/>
        <v>30</v>
      </c>
      <c r="D744" t="str">
        <f>"16"</f>
        <v>16</v>
      </c>
      <c r="E744" t="str">
        <f>"102-30-16"</f>
        <v>102-30-16</v>
      </c>
      <c r="F744" t="s">
        <v>18</v>
      </c>
      <c r="G744" t="s">
        <v>20</v>
      </c>
      <c r="H744">
        <v>1</v>
      </c>
      <c r="K744">
        <v>0</v>
      </c>
      <c r="L744">
        <v>1</v>
      </c>
      <c r="M744">
        <v>0</v>
      </c>
      <c r="N744">
        <v>1</v>
      </c>
    </row>
    <row r="745" spans="1:16" x14ac:dyDescent="0.25">
      <c r="A745" t="str">
        <f>"741"</f>
        <v>741</v>
      </c>
      <c r="B745" t="str">
        <f t="shared" si="40"/>
        <v>102</v>
      </c>
      <c r="C745" t="str">
        <f t="shared" si="41"/>
        <v>30</v>
      </c>
      <c r="D745" t="str">
        <f>"1"</f>
        <v>1</v>
      </c>
      <c r="E745" t="str">
        <f>"102-30-1"</f>
        <v>102-30-1</v>
      </c>
      <c r="F745" t="s">
        <v>18</v>
      </c>
      <c r="G745" t="s">
        <v>19</v>
      </c>
      <c r="H745">
        <v>2</v>
      </c>
      <c r="I745">
        <v>1</v>
      </c>
      <c r="J745">
        <v>1</v>
      </c>
      <c r="K745">
        <v>0</v>
      </c>
      <c r="L745">
        <v>1</v>
      </c>
      <c r="M745">
        <v>0</v>
      </c>
      <c r="N745">
        <v>1</v>
      </c>
      <c r="O745">
        <v>1</v>
      </c>
      <c r="P745">
        <v>0</v>
      </c>
    </row>
    <row r="746" spans="1:16" x14ac:dyDescent="0.25">
      <c r="A746" t="str">
        <f>"742"</f>
        <v>742</v>
      </c>
      <c r="B746" t="str">
        <f t="shared" si="40"/>
        <v>102</v>
      </c>
      <c r="C746" t="str">
        <f t="shared" si="41"/>
        <v>30</v>
      </c>
      <c r="D746" t="str">
        <f>"23"</f>
        <v>23</v>
      </c>
      <c r="E746" t="str">
        <f>"102-30-23"</f>
        <v>102-30-23</v>
      </c>
      <c r="F746" t="s">
        <v>18</v>
      </c>
      <c r="G746" t="s">
        <v>20</v>
      </c>
      <c r="H746">
        <v>1</v>
      </c>
      <c r="K746">
        <v>0</v>
      </c>
      <c r="L746">
        <v>1</v>
      </c>
      <c r="M746">
        <v>0</v>
      </c>
      <c r="N746">
        <v>1</v>
      </c>
    </row>
    <row r="747" spans="1:16" x14ac:dyDescent="0.25">
      <c r="A747" t="str">
        <f>"743"</f>
        <v>743</v>
      </c>
      <c r="B747" t="str">
        <f t="shared" si="40"/>
        <v>102</v>
      </c>
      <c r="C747" t="str">
        <f t="shared" si="41"/>
        <v>30</v>
      </c>
      <c r="D747" t="str">
        <f>"17"</f>
        <v>17</v>
      </c>
      <c r="E747" t="str">
        <f>"102-30-17"</f>
        <v>102-30-17</v>
      </c>
      <c r="F747" t="s">
        <v>18</v>
      </c>
      <c r="G747" t="s">
        <v>20</v>
      </c>
      <c r="H747">
        <v>1</v>
      </c>
      <c r="K747">
        <v>0</v>
      </c>
      <c r="L747">
        <v>1</v>
      </c>
      <c r="M747">
        <v>0</v>
      </c>
      <c r="N747">
        <v>1</v>
      </c>
    </row>
    <row r="748" spans="1:16" x14ac:dyDescent="0.25">
      <c r="A748" t="str">
        <f>"744"</f>
        <v>744</v>
      </c>
      <c r="B748" t="str">
        <f t="shared" si="40"/>
        <v>102</v>
      </c>
      <c r="C748" t="str">
        <f t="shared" si="41"/>
        <v>30</v>
      </c>
      <c r="D748" t="str">
        <f>"5"</f>
        <v>5</v>
      </c>
      <c r="E748" t="str">
        <f>"102-30-5"</f>
        <v>102-30-5</v>
      </c>
      <c r="F748" t="s">
        <v>18</v>
      </c>
      <c r="G748" t="s">
        <v>19</v>
      </c>
      <c r="H748">
        <v>2</v>
      </c>
      <c r="I748">
        <v>1</v>
      </c>
      <c r="J748">
        <v>1</v>
      </c>
      <c r="K748">
        <v>0</v>
      </c>
      <c r="L748">
        <v>1</v>
      </c>
      <c r="M748">
        <v>0</v>
      </c>
      <c r="N748">
        <v>1</v>
      </c>
      <c r="O748">
        <v>1</v>
      </c>
      <c r="P748">
        <v>0</v>
      </c>
    </row>
    <row r="749" spans="1:16" x14ac:dyDescent="0.25">
      <c r="A749" t="str">
        <f>"745"</f>
        <v>745</v>
      </c>
      <c r="B749" t="str">
        <f t="shared" si="40"/>
        <v>102</v>
      </c>
      <c r="C749" t="str">
        <f t="shared" si="41"/>
        <v>30</v>
      </c>
      <c r="D749" t="str">
        <f>"18"</f>
        <v>18</v>
      </c>
      <c r="E749" t="str">
        <f>"102-30-18"</f>
        <v>102-30-18</v>
      </c>
      <c r="F749" t="s">
        <v>18</v>
      </c>
      <c r="G749" t="s">
        <v>20</v>
      </c>
      <c r="H749">
        <v>1</v>
      </c>
      <c r="K749">
        <v>0</v>
      </c>
      <c r="L749">
        <v>1</v>
      </c>
      <c r="M749">
        <v>0</v>
      </c>
      <c r="N749">
        <v>1</v>
      </c>
    </row>
    <row r="750" spans="1:16" x14ac:dyDescent="0.25">
      <c r="A750" t="str">
        <f>"746"</f>
        <v>746</v>
      </c>
      <c r="B750" t="str">
        <f t="shared" si="40"/>
        <v>102</v>
      </c>
      <c r="C750" t="str">
        <f t="shared" si="41"/>
        <v>30</v>
      </c>
      <c r="D750" t="str">
        <f>"9"</f>
        <v>9</v>
      </c>
      <c r="E750" t="str">
        <f>"102-30-9"</f>
        <v>102-30-9</v>
      </c>
      <c r="F750" t="s">
        <v>18</v>
      </c>
      <c r="G750" t="s">
        <v>19</v>
      </c>
      <c r="H750">
        <v>2</v>
      </c>
      <c r="I750">
        <v>0</v>
      </c>
      <c r="J750">
        <v>1</v>
      </c>
      <c r="K750">
        <v>0</v>
      </c>
      <c r="L750">
        <v>1</v>
      </c>
      <c r="M750">
        <v>0</v>
      </c>
      <c r="N750">
        <v>1</v>
      </c>
      <c r="O750">
        <v>1</v>
      </c>
      <c r="P750">
        <v>0</v>
      </c>
    </row>
    <row r="751" spans="1:16" x14ac:dyDescent="0.25">
      <c r="A751" t="str">
        <f>"747"</f>
        <v>747</v>
      </c>
      <c r="B751" t="str">
        <f t="shared" si="40"/>
        <v>102</v>
      </c>
      <c r="C751" t="str">
        <f t="shared" si="41"/>
        <v>30</v>
      </c>
      <c r="D751" t="str">
        <f>"19"</f>
        <v>19</v>
      </c>
      <c r="E751" t="str">
        <f>"102-30-19"</f>
        <v>102-30-19</v>
      </c>
      <c r="F751" t="s">
        <v>18</v>
      </c>
      <c r="G751" t="s">
        <v>20</v>
      </c>
      <c r="H751">
        <v>1</v>
      </c>
      <c r="K751">
        <v>0</v>
      </c>
      <c r="L751">
        <v>1</v>
      </c>
      <c r="M751">
        <v>0</v>
      </c>
      <c r="N751">
        <v>1</v>
      </c>
    </row>
    <row r="752" spans="1:16" x14ac:dyDescent="0.25">
      <c r="A752" t="str">
        <f>"748"</f>
        <v>748</v>
      </c>
      <c r="B752" t="str">
        <f t="shared" si="40"/>
        <v>102</v>
      </c>
      <c r="C752" t="str">
        <f t="shared" si="41"/>
        <v>30</v>
      </c>
      <c r="D752" t="str">
        <f>"8"</f>
        <v>8</v>
      </c>
      <c r="E752" t="str">
        <f>"102-30-8"</f>
        <v>102-30-8</v>
      </c>
      <c r="F752" t="s">
        <v>18</v>
      </c>
      <c r="G752" t="s">
        <v>19</v>
      </c>
      <c r="H752">
        <v>2</v>
      </c>
      <c r="I752">
        <v>1</v>
      </c>
      <c r="J752">
        <v>1</v>
      </c>
      <c r="K752">
        <v>1</v>
      </c>
      <c r="L752">
        <v>0</v>
      </c>
      <c r="M752">
        <v>1</v>
      </c>
      <c r="N752">
        <v>0</v>
      </c>
      <c r="O752">
        <v>1</v>
      </c>
      <c r="P752">
        <v>0</v>
      </c>
    </row>
    <row r="753" spans="1:16" x14ac:dyDescent="0.25">
      <c r="A753" t="str">
        <f>"749"</f>
        <v>749</v>
      </c>
      <c r="B753" t="str">
        <f t="shared" si="40"/>
        <v>102</v>
      </c>
      <c r="C753" t="str">
        <f t="shared" si="41"/>
        <v>30</v>
      </c>
      <c r="D753" t="str">
        <f>"4"</f>
        <v>4</v>
      </c>
      <c r="E753" t="str">
        <f>"102-30-4"</f>
        <v>102-30-4</v>
      </c>
      <c r="F753" t="s">
        <v>18</v>
      </c>
      <c r="G753" t="s">
        <v>19</v>
      </c>
      <c r="H753">
        <v>2</v>
      </c>
      <c r="I753">
        <v>1</v>
      </c>
      <c r="J753">
        <v>1</v>
      </c>
      <c r="K753">
        <v>0</v>
      </c>
      <c r="L753">
        <v>1</v>
      </c>
      <c r="M753">
        <v>0</v>
      </c>
      <c r="N753">
        <v>1</v>
      </c>
      <c r="O753">
        <v>1</v>
      </c>
      <c r="P753">
        <v>0</v>
      </c>
    </row>
    <row r="754" spans="1:16" x14ac:dyDescent="0.25">
      <c r="A754" t="str">
        <f>"750"</f>
        <v>750</v>
      </c>
      <c r="B754" t="str">
        <f t="shared" si="40"/>
        <v>102</v>
      </c>
      <c r="C754" t="str">
        <f t="shared" si="41"/>
        <v>30</v>
      </c>
      <c r="D754" t="str">
        <f>"20"</f>
        <v>20</v>
      </c>
      <c r="E754" t="str">
        <f>"102-30-20"</f>
        <v>102-30-20</v>
      </c>
      <c r="F754" t="s">
        <v>18</v>
      </c>
      <c r="G754" t="s">
        <v>20</v>
      </c>
      <c r="H754">
        <v>1</v>
      </c>
      <c r="K754">
        <v>0</v>
      </c>
      <c r="L754">
        <v>1</v>
      </c>
      <c r="M754">
        <v>0</v>
      </c>
      <c r="N754">
        <v>1</v>
      </c>
    </row>
    <row r="755" spans="1:16" x14ac:dyDescent="0.25">
      <c r="A755" t="str">
        <f>"751"</f>
        <v>751</v>
      </c>
      <c r="B755" t="str">
        <f t="shared" si="40"/>
        <v>102</v>
      </c>
      <c r="C755" t="str">
        <f t="shared" ref="C755:C779" si="42">"31"</f>
        <v>31</v>
      </c>
      <c r="D755" t="str">
        <f>"21"</f>
        <v>21</v>
      </c>
      <c r="E755" t="str">
        <f>"102-31-21"</f>
        <v>102-31-21</v>
      </c>
      <c r="F755" t="s">
        <v>18</v>
      </c>
      <c r="G755" t="s">
        <v>19</v>
      </c>
      <c r="H755">
        <v>2</v>
      </c>
      <c r="I755">
        <v>0</v>
      </c>
      <c r="J755">
        <v>0</v>
      </c>
      <c r="K755">
        <v>0</v>
      </c>
      <c r="L755">
        <v>1</v>
      </c>
      <c r="M755">
        <v>0</v>
      </c>
      <c r="N755">
        <v>1</v>
      </c>
      <c r="O755">
        <v>0</v>
      </c>
      <c r="P755">
        <v>1</v>
      </c>
    </row>
    <row r="756" spans="1:16" x14ac:dyDescent="0.25">
      <c r="A756" t="str">
        <f>"752"</f>
        <v>752</v>
      </c>
      <c r="B756" t="str">
        <f t="shared" si="40"/>
        <v>102</v>
      </c>
      <c r="C756" t="str">
        <f t="shared" si="42"/>
        <v>31</v>
      </c>
      <c r="D756" t="str">
        <f>"11"</f>
        <v>11</v>
      </c>
      <c r="E756" t="str">
        <f>"102-31-11"</f>
        <v>102-31-11</v>
      </c>
      <c r="F756" t="s">
        <v>18</v>
      </c>
      <c r="G756" t="s">
        <v>20</v>
      </c>
      <c r="H756">
        <v>1</v>
      </c>
      <c r="K756">
        <v>1</v>
      </c>
      <c r="L756">
        <v>0</v>
      </c>
      <c r="M756">
        <v>1</v>
      </c>
      <c r="N756">
        <v>0</v>
      </c>
    </row>
    <row r="757" spans="1:16" x14ac:dyDescent="0.25">
      <c r="A757" t="str">
        <f>"753"</f>
        <v>753</v>
      </c>
      <c r="B757" t="str">
        <f t="shared" si="40"/>
        <v>102</v>
      </c>
      <c r="C757" t="str">
        <f t="shared" si="42"/>
        <v>31</v>
      </c>
      <c r="D757" t="str">
        <f>"3"</f>
        <v>3</v>
      </c>
      <c r="E757" t="str">
        <f>"102-31-3"</f>
        <v>102-31-3</v>
      </c>
      <c r="F757" t="s">
        <v>18</v>
      </c>
      <c r="G757" t="s">
        <v>20</v>
      </c>
      <c r="H757">
        <v>1</v>
      </c>
      <c r="K757">
        <v>0</v>
      </c>
      <c r="L757">
        <v>1</v>
      </c>
      <c r="M757">
        <v>0</v>
      </c>
      <c r="N757">
        <v>1</v>
      </c>
    </row>
    <row r="758" spans="1:16" x14ac:dyDescent="0.25">
      <c r="A758" t="str">
        <f>"754"</f>
        <v>754</v>
      </c>
      <c r="B758" t="str">
        <f t="shared" si="40"/>
        <v>102</v>
      </c>
      <c r="C758" t="str">
        <f t="shared" si="42"/>
        <v>31</v>
      </c>
      <c r="D758" t="str">
        <f>"23"</f>
        <v>23</v>
      </c>
      <c r="E758" t="str">
        <f>"102-31-23"</f>
        <v>102-31-23</v>
      </c>
      <c r="F758" t="s">
        <v>18</v>
      </c>
      <c r="G758" t="s">
        <v>19</v>
      </c>
      <c r="H758">
        <v>2</v>
      </c>
      <c r="I758">
        <v>1</v>
      </c>
      <c r="J758">
        <v>1</v>
      </c>
      <c r="K758">
        <v>1</v>
      </c>
      <c r="L758">
        <v>0</v>
      </c>
      <c r="M758">
        <v>1</v>
      </c>
      <c r="N758">
        <v>0</v>
      </c>
      <c r="O758">
        <v>1</v>
      </c>
      <c r="P758">
        <v>0</v>
      </c>
    </row>
    <row r="759" spans="1:16" x14ac:dyDescent="0.25">
      <c r="A759" t="str">
        <f>"755"</f>
        <v>755</v>
      </c>
      <c r="B759" t="str">
        <f t="shared" si="40"/>
        <v>102</v>
      </c>
      <c r="C759" t="str">
        <f t="shared" si="42"/>
        <v>31</v>
      </c>
      <c r="D759" t="str">
        <f>"12"</f>
        <v>12</v>
      </c>
      <c r="E759" t="str">
        <f>"102-31-12"</f>
        <v>102-31-12</v>
      </c>
      <c r="F759" t="s">
        <v>18</v>
      </c>
      <c r="G759" t="s">
        <v>19</v>
      </c>
      <c r="H759">
        <v>2</v>
      </c>
      <c r="I759">
        <v>0</v>
      </c>
      <c r="J759">
        <v>0</v>
      </c>
      <c r="K759">
        <v>1</v>
      </c>
      <c r="L759">
        <v>0</v>
      </c>
      <c r="M759">
        <v>0</v>
      </c>
      <c r="N759">
        <v>1</v>
      </c>
      <c r="O759">
        <v>1</v>
      </c>
      <c r="P759">
        <v>0</v>
      </c>
    </row>
    <row r="760" spans="1:16" x14ac:dyDescent="0.25">
      <c r="A760" t="str">
        <f>"756"</f>
        <v>756</v>
      </c>
      <c r="B760" t="str">
        <f t="shared" si="40"/>
        <v>102</v>
      </c>
      <c r="C760" t="str">
        <f t="shared" si="42"/>
        <v>31</v>
      </c>
      <c r="D760" t="str">
        <f>"1"</f>
        <v>1</v>
      </c>
      <c r="E760" t="str">
        <f>"102-31-1"</f>
        <v>102-31-1</v>
      </c>
      <c r="F760" t="s">
        <v>18</v>
      </c>
      <c r="G760" t="s">
        <v>20</v>
      </c>
      <c r="H760">
        <v>1</v>
      </c>
      <c r="K760">
        <v>0</v>
      </c>
      <c r="L760">
        <v>1</v>
      </c>
      <c r="M760">
        <v>0</v>
      </c>
      <c r="N760">
        <v>1</v>
      </c>
    </row>
    <row r="761" spans="1:16" x14ac:dyDescent="0.25">
      <c r="A761" t="str">
        <f>"757"</f>
        <v>757</v>
      </c>
      <c r="B761" t="str">
        <f t="shared" si="40"/>
        <v>102</v>
      </c>
      <c r="C761" t="str">
        <f t="shared" si="42"/>
        <v>31</v>
      </c>
      <c r="D761" t="str">
        <f>"24"</f>
        <v>24</v>
      </c>
      <c r="E761" t="str">
        <f>"102-31-24"</f>
        <v>102-31-24</v>
      </c>
      <c r="F761" t="s">
        <v>18</v>
      </c>
      <c r="G761" t="s">
        <v>19</v>
      </c>
      <c r="H761">
        <v>2</v>
      </c>
      <c r="I761">
        <v>1</v>
      </c>
      <c r="J761">
        <v>1</v>
      </c>
      <c r="K761">
        <v>1</v>
      </c>
      <c r="L761">
        <v>0</v>
      </c>
      <c r="M761">
        <v>1</v>
      </c>
      <c r="N761">
        <v>0</v>
      </c>
      <c r="O761">
        <v>1</v>
      </c>
      <c r="P761">
        <v>0</v>
      </c>
    </row>
    <row r="762" spans="1:16" x14ac:dyDescent="0.25">
      <c r="A762" t="str">
        <f>"758"</f>
        <v>758</v>
      </c>
      <c r="B762" t="str">
        <f t="shared" si="40"/>
        <v>102</v>
      </c>
      <c r="C762" t="str">
        <f t="shared" si="42"/>
        <v>31</v>
      </c>
      <c r="D762" t="str">
        <f>"13"</f>
        <v>13</v>
      </c>
      <c r="E762" t="str">
        <f>"102-31-13"</f>
        <v>102-31-13</v>
      </c>
      <c r="F762" t="s">
        <v>18</v>
      </c>
      <c r="G762" t="s">
        <v>19</v>
      </c>
      <c r="H762">
        <v>2</v>
      </c>
      <c r="I762">
        <v>1</v>
      </c>
      <c r="J762">
        <v>1</v>
      </c>
      <c r="K762">
        <v>1</v>
      </c>
      <c r="L762">
        <v>0</v>
      </c>
      <c r="M762">
        <v>0</v>
      </c>
      <c r="N762">
        <v>1</v>
      </c>
      <c r="O762">
        <v>1</v>
      </c>
      <c r="P762">
        <v>0</v>
      </c>
    </row>
    <row r="763" spans="1:16" x14ac:dyDescent="0.25">
      <c r="A763" t="str">
        <f>"759"</f>
        <v>759</v>
      </c>
      <c r="B763" t="str">
        <f t="shared" si="40"/>
        <v>102</v>
      </c>
      <c r="C763" t="str">
        <f t="shared" si="42"/>
        <v>31</v>
      </c>
      <c r="D763" t="str">
        <f>"4"</f>
        <v>4</v>
      </c>
      <c r="E763" t="str">
        <f>"102-31-4"</f>
        <v>102-31-4</v>
      </c>
      <c r="F763" t="s">
        <v>18</v>
      </c>
      <c r="G763" t="s">
        <v>20</v>
      </c>
      <c r="H763">
        <v>1</v>
      </c>
      <c r="K763">
        <v>0</v>
      </c>
      <c r="L763">
        <v>1</v>
      </c>
      <c r="M763">
        <v>0</v>
      </c>
      <c r="N763">
        <v>1</v>
      </c>
    </row>
    <row r="764" spans="1:16" x14ac:dyDescent="0.25">
      <c r="A764" t="str">
        <f>"760"</f>
        <v>760</v>
      </c>
      <c r="B764" t="str">
        <f t="shared" si="40"/>
        <v>102</v>
      </c>
      <c r="C764" t="str">
        <f t="shared" si="42"/>
        <v>31</v>
      </c>
      <c r="D764" t="str">
        <f>"22"</f>
        <v>22</v>
      </c>
      <c r="E764" t="str">
        <f>"102-31-22"</f>
        <v>102-31-22</v>
      </c>
      <c r="F764" t="s">
        <v>18</v>
      </c>
      <c r="G764" t="s">
        <v>19</v>
      </c>
      <c r="H764">
        <v>2</v>
      </c>
      <c r="I764">
        <v>0</v>
      </c>
      <c r="J764">
        <v>0</v>
      </c>
      <c r="K764">
        <v>1</v>
      </c>
      <c r="L764">
        <v>0</v>
      </c>
      <c r="M764">
        <v>1</v>
      </c>
      <c r="N764">
        <v>0</v>
      </c>
      <c r="O764">
        <v>1</v>
      </c>
      <c r="P764">
        <v>0</v>
      </c>
    </row>
    <row r="765" spans="1:16" x14ac:dyDescent="0.25">
      <c r="A765" t="str">
        <f>"761"</f>
        <v>761</v>
      </c>
      <c r="B765" t="str">
        <f t="shared" si="40"/>
        <v>102</v>
      </c>
      <c r="C765" t="str">
        <f t="shared" si="42"/>
        <v>31</v>
      </c>
      <c r="D765" t="str">
        <f>"14"</f>
        <v>14</v>
      </c>
      <c r="E765" t="str">
        <f>"102-31-14"</f>
        <v>102-31-14</v>
      </c>
      <c r="F765" t="s">
        <v>18</v>
      </c>
      <c r="G765" t="s">
        <v>19</v>
      </c>
      <c r="H765">
        <v>2</v>
      </c>
      <c r="I765">
        <v>0</v>
      </c>
      <c r="J765">
        <v>1</v>
      </c>
      <c r="K765">
        <v>1</v>
      </c>
      <c r="L765">
        <v>0</v>
      </c>
      <c r="M765">
        <v>0</v>
      </c>
      <c r="N765">
        <v>1</v>
      </c>
      <c r="O765">
        <v>1</v>
      </c>
      <c r="P765">
        <v>0</v>
      </c>
    </row>
    <row r="766" spans="1:16" x14ac:dyDescent="0.25">
      <c r="A766" t="str">
        <f>"762"</f>
        <v>762</v>
      </c>
      <c r="B766" t="str">
        <f t="shared" si="40"/>
        <v>102</v>
      </c>
      <c r="C766" t="str">
        <f t="shared" si="42"/>
        <v>31</v>
      </c>
      <c r="D766" t="str">
        <f>"2"</f>
        <v>2</v>
      </c>
      <c r="E766" t="str">
        <f>"102-31-2"</f>
        <v>102-31-2</v>
      </c>
      <c r="F766" t="s">
        <v>18</v>
      </c>
      <c r="G766" t="s">
        <v>20</v>
      </c>
      <c r="H766">
        <v>1</v>
      </c>
      <c r="K766">
        <v>0</v>
      </c>
      <c r="L766">
        <v>1</v>
      </c>
      <c r="M766">
        <v>0</v>
      </c>
      <c r="N766">
        <v>1</v>
      </c>
    </row>
    <row r="767" spans="1:16" x14ac:dyDescent="0.25">
      <c r="A767" t="str">
        <f>"763"</f>
        <v>763</v>
      </c>
      <c r="B767" t="str">
        <f t="shared" si="40"/>
        <v>102</v>
      </c>
      <c r="C767" t="str">
        <f t="shared" si="42"/>
        <v>31</v>
      </c>
      <c r="D767" t="str">
        <f>"25"</f>
        <v>25</v>
      </c>
      <c r="E767" t="str">
        <f>"102-31-25"</f>
        <v>102-31-25</v>
      </c>
      <c r="F767" t="s">
        <v>18</v>
      </c>
      <c r="G767" t="s">
        <v>19</v>
      </c>
      <c r="H767">
        <v>2</v>
      </c>
      <c r="I767">
        <v>0</v>
      </c>
      <c r="J767">
        <v>0</v>
      </c>
      <c r="K767">
        <v>0</v>
      </c>
      <c r="L767">
        <v>1</v>
      </c>
      <c r="M767">
        <v>0</v>
      </c>
      <c r="N767">
        <v>1</v>
      </c>
      <c r="O767">
        <v>0</v>
      </c>
      <c r="P767">
        <v>1</v>
      </c>
    </row>
    <row r="768" spans="1:16" x14ac:dyDescent="0.25">
      <c r="A768" t="str">
        <f>"764"</f>
        <v>764</v>
      </c>
      <c r="B768" t="str">
        <f t="shared" si="40"/>
        <v>102</v>
      </c>
      <c r="C768" t="str">
        <f t="shared" si="42"/>
        <v>31</v>
      </c>
      <c r="D768" t="str">
        <f>"15"</f>
        <v>15</v>
      </c>
      <c r="E768" t="str">
        <f>"102-31-15"</f>
        <v>102-31-15</v>
      </c>
      <c r="F768" t="s">
        <v>18</v>
      </c>
      <c r="G768" t="s">
        <v>19</v>
      </c>
      <c r="H768">
        <v>2</v>
      </c>
      <c r="I768">
        <v>1</v>
      </c>
      <c r="J768">
        <v>1</v>
      </c>
      <c r="K768">
        <v>0</v>
      </c>
      <c r="L768">
        <v>1</v>
      </c>
      <c r="M768">
        <v>0</v>
      </c>
      <c r="N768">
        <v>1</v>
      </c>
      <c r="O768">
        <v>1</v>
      </c>
      <c r="P768">
        <v>0</v>
      </c>
    </row>
    <row r="769" spans="1:16" x14ac:dyDescent="0.25">
      <c r="A769" t="str">
        <f>"765"</f>
        <v>765</v>
      </c>
      <c r="B769" t="str">
        <f t="shared" si="40"/>
        <v>102</v>
      </c>
      <c r="C769" t="str">
        <f t="shared" si="42"/>
        <v>31</v>
      </c>
      <c r="D769" t="str">
        <f>"5"</f>
        <v>5</v>
      </c>
      <c r="E769" t="str">
        <f>"102-31-5"</f>
        <v>102-31-5</v>
      </c>
      <c r="F769" t="s">
        <v>18</v>
      </c>
      <c r="G769" t="s">
        <v>20</v>
      </c>
      <c r="H769">
        <v>1</v>
      </c>
      <c r="K769">
        <v>0</v>
      </c>
      <c r="L769">
        <v>1</v>
      </c>
      <c r="M769">
        <v>0</v>
      </c>
      <c r="N769">
        <v>1</v>
      </c>
    </row>
    <row r="770" spans="1:16" x14ac:dyDescent="0.25">
      <c r="A770" t="str">
        <f>"766"</f>
        <v>766</v>
      </c>
      <c r="B770" t="str">
        <f t="shared" si="40"/>
        <v>102</v>
      </c>
      <c r="C770" t="str">
        <f t="shared" si="42"/>
        <v>31</v>
      </c>
      <c r="D770" t="str">
        <f>"16"</f>
        <v>16</v>
      </c>
      <c r="E770" t="str">
        <f>"102-31-16"</f>
        <v>102-31-16</v>
      </c>
      <c r="F770" t="s">
        <v>18</v>
      </c>
      <c r="G770" t="s">
        <v>19</v>
      </c>
      <c r="H770">
        <v>2</v>
      </c>
      <c r="I770">
        <v>0</v>
      </c>
      <c r="J770">
        <v>0</v>
      </c>
      <c r="K770">
        <v>0</v>
      </c>
      <c r="L770">
        <v>1</v>
      </c>
      <c r="M770">
        <v>0</v>
      </c>
      <c r="N770">
        <v>1</v>
      </c>
      <c r="O770">
        <v>1</v>
      </c>
      <c r="P770">
        <v>0</v>
      </c>
    </row>
    <row r="771" spans="1:16" x14ac:dyDescent="0.25">
      <c r="A771" t="str">
        <f>"767"</f>
        <v>767</v>
      </c>
      <c r="B771" t="str">
        <f t="shared" si="40"/>
        <v>102</v>
      </c>
      <c r="C771" t="str">
        <f t="shared" si="42"/>
        <v>31</v>
      </c>
      <c r="D771" t="str">
        <f>"7"</f>
        <v>7</v>
      </c>
      <c r="E771" t="str">
        <f>"102-31-7"</f>
        <v>102-31-7</v>
      </c>
      <c r="F771" t="s">
        <v>18</v>
      </c>
      <c r="G771" t="s">
        <v>20</v>
      </c>
      <c r="H771">
        <v>1</v>
      </c>
      <c r="K771">
        <v>1</v>
      </c>
      <c r="L771">
        <v>0</v>
      </c>
      <c r="M771">
        <v>1</v>
      </c>
      <c r="N771">
        <v>0</v>
      </c>
    </row>
    <row r="772" spans="1:16" x14ac:dyDescent="0.25">
      <c r="A772" t="str">
        <f>"768"</f>
        <v>768</v>
      </c>
      <c r="B772" t="str">
        <f t="shared" si="40"/>
        <v>102</v>
      </c>
      <c r="C772" t="str">
        <f t="shared" si="42"/>
        <v>31</v>
      </c>
      <c r="D772" t="str">
        <f>"17"</f>
        <v>17</v>
      </c>
      <c r="E772" t="str">
        <f>"102-31-17"</f>
        <v>102-31-17</v>
      </c>
      <c r="F772" t="s">
        <v>18</v>
      </c>
      <c r="G772" t="s">
        <v>19</v>
      </c>
      <c r="H772">
        <v>2</v>
      </c>
      <c r="I772">
        <v>1</v>
      </c>
      <c r="J772">
        <v>1</v>
      </c>
      <c r="K772">
        <v>0</v>
      </c>
      <c r="L772">
        <v>1</v>
      </c>
      <c r="M772">
        <v>0</v>
      </c>
      <c r="N772">
        <v>1</v>
      </c>
      <c r="O772">
        <v>1</v>
      </c>
      <c r="P772">
        <v>0</v>
      </c>
    </row>
    <row r="773" spans="1:16" x14ac:dyDescent="0.25">
      <c r="A773" t="str">
        <f>"769"</f>
        <v>769</v>
      </c>
      <c r="B773" t="str">
        <f t="shared" ref="B773:B836" si="43">"102"</f>
        <v>102</v>
      </c>
      <c r="C773" t="str">
        <f t="shared" si="42"/>
        <v>31</v>
      </c>
      <c r="D773" t="str">
        <f>"10"</f>
        <v>10</v>
      </c>
      <c r="E773" t="str">
        <f>"102-31-10"</f>
        <v>102-31-10</v>
      </c>
      <c r="F773" t="s">
        <v>18</v>
      </c>
      <c r="G773" t="s">
        <v>20</v>
      </c>
      <c r="H773">
        <v>1</v>
      </c>
      <c r="K773">
        <v>1</v>
      </c>
      <c r="L773">
        <v>0</v>
      </c>
      <c r="M773">
        <v>1</v>
      </c>
      <c r="N773">
        <v>0</v>
      </c>
    </row>
    <row r="774" spans="1:16" x14ac:dyDescent="0.25">
      <c r="A774" t="str">
        <f>"770"</f>
        <v>770</v>
      </c>
      <c r="B774" t="str">
        <f t="shared" si="43"/>
        <v>102</v>
      </c>
      <c r="C774" t="str">
        <f t="shared" si="42"/>
        <v>31</v>
      </c>
      <c r="D774" t="str">
        <f>"18"</f>
        <v>18</v>
      </c>
      <c r="E774" t="str">
        <f>"102-31-18"</f>
        <v>102-31-18</v>
      </c>
      <c r="F774" t="s">
        <v>18</v>
      </c>
      <c r="G774" t="s">
        <v>19</v>
      </c>
      <c r="H774">
        <v>2</v>
      </c>
      <c r="I774">
        <v>0</v>
      </c>
      <c r="J774">
        <v>1</v>
      </c>
      <c r="K774">
        <v>1</v>
      </c>
      <c r="L774">
        <v>0</v>
      </c>
      <c r="M774">
        <v>1</v>
      </c>
      <c r="N774">
        <v>0</v>
      </c>
      <c r="O774">
        <v>0</v>
      </c>
      <c r="P774">
        <v>1</v>
      </c>
    </row>
    <row r="775" spans="1:16" x14ac:dyDescent="0.25">
      <c r="A775" t="str">
        <f>"771"</f>
        <v>771</v>
      </c>
      <c r="B775" t="str">
        <f t="shared" si="43"/>
        <v>102</v>
      </c>
      <c r="C775" t="str">
        <f t="shared" si="42"/>
        <v>31</v>
      </c>
      <c r="D775" t="str">
        <f>"8"</f>
        <v>8</v>
      </c>
      <c r="E775" t="str">
        <f>"102-31-8"</f>
        <v>102-31-8</v>
      </c>
      <c r="F775" t="s">
        <v>18</v>
      </c>
      <c r="G775" t="s">
        <v>20</v>
      </c>
      <c r="H775">
        <v>1</v>
      </c>
      <c r="K775">
        <v>1</v>
      </c>
      <c r="L775">
        <v>0</v>
      </c>
      <c r="M775">
        <v>1</v>
      </c>
      <c r="N775">
        <v>0</v>
      </c>
    </row>
    <row r="776" spans="1:16" x14ac:dyDescent="0.25">
      <c r="A776" t="str">
        <f>"772"</f>
        <v>772</v>
      </c>
      <c r="B776" t="str">
        <f t="shared" si="43"/>
        <v>102</v>
      </c>
      <c r="C776" t="str">
        <f t="shared" si="42"/>
        <v>31</v>
      </c>
      <c r="D776" t="str">
        <f>"19"</f>
        <v>19</v>
      </c>
      <c r="E776" t="str">
        <f>"102-31-19"</f>
        <v>102-31-19</v>
      </c>
      <c r="F776" t="s">
        <v>18</v>
      </c>
      <c r="G776" t="s">
        <v>19</v>
      </c>
      <c r="H776">
        <v>2</v>
      </c>
      <c r="I776">
        <v>1</v>
      </c>
      <c r="J776">
        <v>0</v>
      </c>
      <c r="K776">
        <v>0</v>
      </c>
      <c r="L776">
        <v>1</v>
      </c>
      <c r="M776">
        <v>0</v>
      </c>
      <c r="N776">
        <v>1</v>
      </c>
      <c r="O776">
        <v>1</v>
      </c>
      <c r="P776">
        <v>0</v>
      </c>
    </row>
    <row r="777" spans="1:16" x14ac:dyDescent="0.25">
      <c r="A777" t="str">
        <f>"773"</f>
        <v>773</v>
      </c>
      <c r="B777" t="str">
        <f t="shared" si="43"/>
        <v>102</v>
      </c>
      <c r="C777" t="str">
        <f t="shared" si="42"/>
        <v>31</v>
      </c>
      <c r="D777" t="str">
        <f>"9"</f>
        <v>9</v>
      </c>
      <c r="E777" t="str">
        <f>"102-31-9"</f>
        <v>102-31-9</v>
      </c>
      <c r="F777" t="s">
        <v>18</v>
      </c>
      <c r="G777" t="s">
        <v>20</v>
      </c>
      <c r="H777">
        <v>1</v>
      </c>
      <c r="K777">
        <v>1</v>
      </c>
      <c r="L777">
        <v>0</v>
      </c>
      <c r="M777">
        <v>1</v>
      </c>
      <c r="N777">
        <v>0</v>
      </c>
    </row>
    <row r="778" spans="1:16" x14ac:dyDescent="0.25">
      <c r="A778" t="str">
        <f>"774"</f>
        <v>774</v>
      </c>
      <c r="B778" t="str">
        <f t="shared" si="43"/>
        <v>102</v>
      </c>
      <c r="C778" t="str">
        <f t="shared" si="42"/>
        <v>31</v>
      </c>
      <c r="D778" t="str">
        <f>"20"</f>
        <v>20</v>
      </c>
      <c r="E778" t="str">
        <f>"102-31-20"</f>
        <v>102-31-20</v>
      </c>
      <c r="F778" t="s">
        <v>18</v>
      </c>
      <c r="G778" t="s">
        <v>19</v>
      </c>
      <c r="H778">
        <v>2</v>
      </c>
      <c r="I778">
        <v>1</v>
      </c>
      <c r="J778">
        <v>0</v>
      </c>
      <c r="K778">
        <v>0</v>
      </c>
      <c r="L778">
        <v>1</v>
      </c>
      <c r="M778">
        <v>0</v>
      </c>
      <c r="N778">
        <v>1</v>
      </c>
      <c r="O778">
        <v>1</v>
      </c>
      <c r="P778">
        <v>0</v>
      </c>
    </row>
    <row r="779" spans="1:16" x14ac:dyDescent="0.25">
      <c r="A779" t="str">
        <f>"775"</f>
        <v>775</v>
      </c>
      <c r="B779" t="str">
        <f t="shared" si="43"/>
        <v>102</v>
      </c>
      <c r="C779" t="str">
        <f t="shared" si="42"/>
        <v>31</v>
      </c>
      <c r="D779" t="str">
        <f>"6"</f>
        <v>6</v>
      </c>
      <c r="E779" t="str">
        <f>"102-31-6"</f>
        <v>102-31-6</v>
      </c>
      <c r="F779" t="s">
        <v>18</v>
      </c>
      <c r="G779" t="s">
        <v>20</v>
      </c>
      <c r="H779">
        <v>1</v>
      </c>
      <c r="K779">
        <v>0</v>
      </c>
      <c r="L779">
        <v>1</v>
      </c>
      <c r="M779">
        <v>0</v>
      </c>
      <c r="N779">
        <v>1</v>
      </c>
    </row>
    <row r="780" spans="1:16" x14ac:dyDescent="0.25">
      <c r="A780" t="str">
        <f>"776"</f>
        <v>776</v>
      </c>
      <c r="B780" t="str">
        <f t="shared" si="43"/>
        <v>102</v>
      </c>
      <c r="C780" t="str">
        <f t="shared" ref="C780:C804" si="44">"32"</f>
        <v>32</v>
      </c>
      <c r="D780" t="str">
        <f>"21"</f>
        <v>21</v>
      </c>
      <c r="E780" t="str">
        <f>"102-32-21"</f>
        <v>102-32-21</v>
      </c>
      <c r="F780" t="s">
        <v>18</v>
      </c>
      <c r="G780" t="s">
        <v>19</v>
      </c>
      <c r="H780">
        <v>2</v>
      </c>
      <c r="I780">
        <v>1</v>
      </c>
      <c r="J780">
        <v>1</v>
      </c>
      <c r="K780">
        <v>1</v>
      </c>
      <c r="L780">
        <v>0</v>
      </c>
      <c r="M780">
        <v>1</v>
      </c>
      <c r="N780">
        <v>0</v>
      </c>
      <c r="O780">
        <v>1</v>
      </c>
      <c r="P780">
        <v>0</v>
      </c>
    </row>
    <row r="781" spans="1:16" x14ac:dyDescent="0.25">
      <c r="A781" t="str">
        <f>"777"</f>
        <v>777</v>
      </c>
      <c r="B781" t="str">
        <f t="shared" si="43"/>
        <v>102</v>
      </c>
      <c r="C781" t="str">
        <f t="shared" si="44"/>
        <v>32</v>
      </c>
      <c r="D781" t="str">
        <f>"11"</f>
        <v>11</v>
      </c>
      <c r="E781" t="str">
        <f>"102-32-11"</f>
        <v>102-32-11</v>
      </c>
      <c r="F781" t="s">
        <v>18</v>
      </c>
      <c r="G781" t="s">
        <v>20</v>
      </c>
      <c r="H781">
        <v>1</v>
      </c>
      <c r="K781">
        <v>0</v>
      </c>
      <c r="L781">
        <v>1</v>
      </c>
      <c r="M781">
        <v>0</v>
      </c>
      <c r="N781">
        <v>1</v>
      </c>
    </row>
    <row r="782" spans="1:16" x14ac:dyDescent="0.25">
      <c r="A782" t="str">
        <f>"778"</f>
        <v>778</v>
      </c>
      <c r="B782" t="str">
        <f t="shared" si="43"/>
        <v>102</v>
      </c>
      <c r="C782" t="str">
        <f t="shared" si="44"/>
        <v>32</v>
      </c>
      <c r="D782" t="str">
        <f>"6"</f>
        <v>6</v>
      </c>
      <c r="E782" t="str">
        <f>"102-32-6"</f>
        <v>102-32-6</v>
      </c>
      <c r="F782" t="s">
        <v>18</v>
      </c>
      <c r="G782" t="s">
        <v>20</v>
      </c>
      <c r="H782">
        <v>1</v>
      </c>
      <c r="K782">
        <v>0</v>
      </c>
      <c r="L782">
        <v>1</v>
      </c>
      <c r="M782">
        <v>0</v>
      </c>
      <c r="N782">
        <v>1</v>
      </c>
    </row>
    <row r="783" spans="1:16" x14ac:dyDescent="0.25">
      <c r="A783" t="str">
        <f>"779"</f>
        <v>779</v>
      </c>
      <c r="B783" t="str">
        <f t="shared" si="43"/>
        <v>102</v>
      </c>
      <c r="C783" t="str">
        <f t="shared" si="44"/>
        <v>32</v>
      </c>
      <c r="D783" t="str">
        <f>"24"</f>
        <v>24</v>
      </c>
      <c r="E783" t="str">
        <f>"102-32-24"</f>
        <v>102-32-24</v>
      </c>
      <c r="F783" t="s">
        <v>18</v>
      </c>
      <c r="G783" t="s">
        <v>20</v>
      </c>
      <c r="H783">
        <v>1</v>
      </c>
      <c r="K783">
        <v>0</v>
      </c>
      <c r="L783">
        <v>1</v>
      </c>
      <c r="M783">
        <v>0</v>
      </c>
      <c r="N783">
        <v>1</v>
      </c>
    </row>
    <row r="784" spans="1:16" x14ac:dyDescent="0.25">
      <c r="A784" t="str">
        <f>"780"</f>
        <v>780</v>
      </c>
      <c r="B784" t="str">
        <f t="shared" si="43"/>
        <v>102</v>
      </c>
      <c r="C784" t="str">
        <f t="shared" si="44"/>
        <v>32</v>
      </c>
      <c r="D784" t="str">
        <f>"12"</f>
        <v>12</v>
      </c>
      <c r="E784" t="str">
        <f>"102-32-12"</f>
        <v>102-32-12</v>
      </c>
      <c r="F784" t="s">
        <v>18</v>
      </c>
      <c r="G784" t="s">
        <v>20</v>
      </c>
      <c r="H784">
        <v>1</v>
      </c>
      <c r="K784">
        <v>1</v>
      </c>
      <c r="L784">
        <v>0</v>
      </c>
      <c r="M784">
        <v>0</v>
      </c>
      <c r="N784">
        <v>1</v>
      </c>
    </row>
    <row r="785" spans="1:16" x14ac:dyDescent="0.25">
      <c r="A785" t="str">
        <f>"781"</f>
        <v>781</v>
      </c>
      <c r="B785" t="str">
        <f t="shared" si="43"/>
        <v>102</v>
      </c>
      <c r="C785" t="str">
        <f t="shared" si="44"/>
        <v>32</v>
      </c>
      <c r="D785" t="str">
        <f>"1"</f>
        <v>1</v>
      </c>
      <c r="E785" t="str">
        <f>"102-32-1"</f>
        <v>102-32-1</v>
      </c>
      <c r="F785" t="s">
        <v>18</v>
      </c>
      <c r="G785" t="s">
        <v>20</v>
      </c>
      <c r="H785">
        <v>1</v>
      </c>
      <c r="K785">
        <v>0</v>
      </c>
      <c r="L785">
        <v>1</v>
      </c>
      <c r="M785">
        <v>0</v>
      </c>
      <c r="N785">
        <v>1</v>
      </c>
    </row>
    <row r="786" spans="1:16" x14ac:dyDescent="0.25">
      <c r="A786" t="str">
        <f>"782"</f>
        <v>782</v>
      </c>
      <c r="B786" t="str">
        <f t="shared" si="43"/>
        <v>102</v>
      </c>
      <c r="C786" t="str">
        <f t="shared" si="44"/>
        <v>32</v>
      </c>
      <c r="D786" t="str">
        <f>"13"</f>
        <v>13</v>
      </c>
      <c r="E786" t="str">
        <f>"102-32-13"</f>
        <v>102-32-13</v>
      </c>
      <c r="F786" t="s">
        <v>18</v>
      </c>
      <c r="G786" t="s">
        <v>19</v>
      </c>
      <c r="H786">
        <v>2</v>
      </c>
      <c r="I786">
        <v>0</v>
      </c>
      <c r="J786">
        <v>0</v>
      </c>
      <c r="K786">
        <v>1</v>
      </c>
      <c r="L786">
        <v>0</v>
      </c>
      <c r="M786">
        <v>1</v>
      </c>
      <c r="N786">
        <v>0</v>
      </c>
      <c r="O786">
        <v>1</v>
      </c>
      <c r="P786">
        <v>0</v>
      </c>
    </row>
    <row r="787" spans="1:16" x14ac:dyDescent="0.25">
      <c r="A787" t="str">
        <f>"783"</f>
        <v>783</v>
      </c>
      <c r="B787" t="str">
        <f t="shared" si="43"/>
        <v>102</v>
      </c>
      <c r="C787" t="str">
        <f t="shared" si="44"/>
        <v>32</v>
      </c>
      <c r="D787" t="str">
        <f>"5"</f>
        <v>5</v>
      </c>
      <c r="E787" t="str">
        <f>"102-32-5"</f>
        <v>102-32-5</v>
      </c>
      <c r="F787" t="s">
        <v>18</v>
      </c>
      <c r="G787" t="s">
        <v>20</v>
      </c>
      <c r="H787">
        <v>1</v>
      </c>
      <c r="K787">
        <v>0</v>
      </c>
      <c r="L787">
        <v>1</v>
      </c>
      <c r="M787">
        <v>0</v>
      </c>
      <c r="N787">
        <v>1</v>
      </c>
    </row>
    <row r="788" spans="1:16" x14ac:dyDescent="0.25">
      <c r="A788" t="str">
        <f>"784"</f>
        <v>784</v>
      </c>
      <c r="B788" t="str">
        <f t="shared" si="43"/>
        <v>102</v>
      </c>
      <c r="C788" t="str">
        <f t="shared" si="44"/>
        <v>32</v>
      </c>
      <c r="D788" t="str">
        <f>"25"</f>
        <v>25</v>
      </c>
      <c r="E788" t="str">
        <f>"102-32-25"</f>
        <v>102-32-25</v>
      </c>
      <c r="F788" t="s">
        <v>18</v>
      </c>
      <c r="G788" t="s">
        <v>20</v>
      </c>
      <c r="H788">
        <v>1</v>
      </c>
      <c r="K788">
        <v>0</v>
      </c>
      <c r="L788">
        <v>1</v>
      </c>
      <c r="M788">
        <v>0</v>
      </c>
      <c r="N788">
        <v>1</v>
      </c>
    </row>
    <row r="789" spans="1:16" x14ac:dyDescent="0.25">
      <c r="A789" t="str">
        <f>"785"</f>
        <v>785</v>
      </c>
      <c r="B789" t="str">
        <f t="shared" si="43"/>
        <v>102</v>
      </c>
      <c r="C789" t="str">
        <f t="shared" si="44"/>
        <v>32</v>
      </c>
      <c r="D789" t="str">
        <f>"14"</f>
        <v>14</v>
      </c>
      <c r="E789" t="str">
        <f>"102-32-14"</f>
        <v>102-32-14</v>
      </c>
      <c r="F789" t="s">
        <v>18</v>
      </c>
      <c r="G789" t="s">
        <v>20</v>
      </c>
      <c r="H789">
        <v>1</v>
      </c>
      <c r="K789">
        <v>1</v>
      </c>
      <c r="L789">
        <v>0</v>
      </c>
      <c r="M789">
        <v>1</v>
      </c>
      <c r="N789">
        <v>0</v>
      </c>
    </row>
    <row r="790" spans="1:16" x14ac:dyDescent="0.25">
      <c r="A790" t="str">
        <f>"786"</f>
        <v>786</v>
      </c>
      <c r="B790" t="str">
        <f t="shared" si="43"/>
        <v>102</v>
      </c>
      <c r="C790" t="str">
        <f t="shared" si="44"/>
        <v>32</v>
      </c>
      <c r="D790" t="str">
        <f>"2"</f>
        <v>2</v>
      </c>
      <c r="E790" t="str">
        <f>"102-32-2"</f>
        <v>102-32-2</v>
      </c>
      <c r="F790" t="s">
        <v>18</v>
      </c>
      <c r="G790" t="s">
        <v>20</v>
      </c>
      <c r="H790">
        <v>1</v>
      </c>
      <c r="K790">
        <v>0</v>
      </c>
      <c r="L790">
        <v>1</v>
      </c>
      <c r="M790">
        <v>0</v>
      </c>
      <c r="N790">
        <v>1</v>
      </c>
    </row>
    <row r="791" spans="1:16" x14ac:dyDescent="0.25">
      <c r="A791" t="str">
        <f>"787"</f>
        <v>787</v>
      </c>
      <c r="B791" t="str">
        <f t="shared" si="43"/>
        <v>102</v>
      </c>
      <c r="C791" t="str">
        <f t="shared" si="44"/>
        <v>32</v>
      </c>
      <c r="D791" t="str">
        <f>"22"</f>
        <v>22</v>
      </c>
      <c r="E791" t="str">
        <f>"102-32-22"</f>
        <v>102-32-22</v>
      </c>
      <c r="F791" t="s">
        <v>18</v>
      </c>
      <c r="G791" t="s">
        <v>19</v>
      </c>
      <c r="H791">
        <v>2</v>
      </c>
      <c r="I791">
        <v>1</v>
      </c>
      <c r="J791">
        <v>1</v>
      </c>
      <c r="K791">
        <v>0</v>
      </c>
      <c r="L791">
        <v>1</v>
      </c>
      <c r="M791">
        <v>0</v>
      </c>
      <c r="N791">
        <v>1</v>
      </c>
      <c r="O791">
        <v>1</v>
      </c>
      <c r="P791">
        <v>0</v>
      </c>
    </row>
    <row r="792" spans="1:16" x14ac:dyDescent="0.25">
      <c r="A792" t="str">
        <f>"788"</f>
        <v>788</v>
      </c>
      <c r="B792" t="str">
        <f t="shared" si="43"/>
        <v>102</v>
      </c>
      <c r="C792" t="str">
        <f t="shared" si="44"/>
        <v>32</v>
      </c>
      <c r="D792" t="str">
        <f>"15"</f>
        <v>15</v>
      </c>
      <c r="E792" t="str">
        <f>"102-32-15"</f>
        <v>102-32-15</v>
      </c>
      <c r="F792" t="s">
        <v>18</v>
      </c>
      <c r="G792" t="s">
        <v>20</v>
      </c>
      <c r="H792">
        <v>1</v>
      </c>
      <c r="K792">
        <v>1</v>
      </c>
      <c r="L792">
        <v>0</v>
      </c>
      <c r="M792">
        <v>1</v>
      </c>
      <c r="N792">
        <v>0</v>
      </c>
    </row>
    <row r="793" spans="1:16" x14ac:dyDescent="0.25">
      <c r="A793" t="str">
        <f>"789"</f>
        <v>789</v>
      </c>
      <c r="B793" t="str">
        <f t="shared" si="43"/>
        <v>102</v>
      </c>
      <c r="C793" t="str">
        <f t="shared" si="44"/>
        <v>32</v>
      </c>
      <c r="D793" t="str">
        <f>"3"</f>
        <v>3</v>
      </c>
      <c r="E793" t="str">
        <f>"102-32-3"</f>
        <v>102-32-3</v>
      </c>
      <c r="F793" t="s">
        <v>18</v>
      </c>
      <c r="G793" t="s">
        <v>20</v>
      </c>
      <c r="H793">
        <v>1</v>
      </c>
      <c r="K793">
        <v>1</v>
      </c>
      <c r="L793">
        <v>0</v>
      </c>
      <c r="M793">
        <v>1</v>
      </c>
      <c r="N793">
        <v>0</v>
      </c>
    </row>
    <row r="794" spans="1:16" x14ac:dyDescent="0.25">
      <c r="A794" t="str">
        <f>"790"</f>
        <v>790</v>
      </c>
      <c r="B794" t="str">
        <f t="shared" si="43"/>
        <v>102</v>
      </c>
      <c r="C794" t="str">
        <f t="shared" si="44"/>
        <v>32</v>
      </c>
      <c r="D794" t="str">
        <f>"23"</f>
        <v>23</v>
      </c>
      <c r="E794" t="str">
        <f>"102-32-23"</f>
        <v>102-32-23</v>
      </c>
      <c r="F794" t="s">
        <v>18</v>
      </c>
      <c r="G794" t="s">
        <v>20</v>
      </c>
      <c r="H794">
        <v>1</v>
      </c>
      <c r="K794">
        <v>0</v>
      </c>
      <c r="L794">
        <v>1</v>
      </c>
      <c r="M794">
        <v>0</v>
      </c>
      <c r="N794">
        <v>1</v>
      </c>
    </row>
    <row r="795" spans="1:16" x14ac:dyDescent="0.25">
      <c r="A795" t="str">
        <f>"791"</f>
        <v>791</v>
      </c>
      <c r="B795" t="str">
        <f t="shared" si="43"/>
        <v>102</v>
      </c>
      <c r="C795" t="str">
        <f t="shared" si="44"/>
        <v>32</v>
      </c>
      <c r="D795" t="str">
        <f>"16"</f>
        <v>16</v>
      </c>
      <c r="E795" t="str">
        <f>"102-32-16"</f>
        <v>102-32-16</v>
      </c>
      <c r="F795" t="s">
        <v>18</v>
      </c>
      <c r="G795" t="s">
        <v>20</v>
      </c>
      <c r="H795">
        <v>1</v>
      </c>
      <c r="K795">
        <v>0</v>
      </c>
      <c r="L795">
        <v>1</v>
      </c>
      <c r="M795">
        <v>0</v>
      </c>
      <c r="N795">
        <v>1</v>
      </c>
    </row>
    <row r="796" spans="1:16" x14ac:dyDescent="0.25">
      <c r="A796" t="str">
        <f>"792"</f>
        <v>792</v>
      </c>
      <c r="B796" t="str">
        <f t="shared" si="43"/>
        <v>102</v>
      </c>
      <c r="C796" t="str">
        <f t="shared" si="44"/>
        <v>32</v>
      </c>
      <c r="D796" t="str">
        <f>"4"</f>
        <v>4</v>
      </c>
      <c r="E796" t="str">
        <f>"102-32-4"</f>
        <v>102-32-4</v>
      </c>
      <c r="F796" t="s">
        <v>18</v>
      </c>
      <c r="G796" t="s">
        <v>20</v>
      </c>
      <c r="H796">
        <v>1</v>
      </c>
      <c r="K796">
        <v>1</v>
      </c>
      <c r="L796">
        <v>0</v>
      </c>
      <c r="M796">
        <v>1</v>
      </c>
      <c r="N796">
        <v>0</v>
      </c>
    </row>
    <row r="797" spans="1:16" x14ac:dyDescent="0.25">
      <c r="A797" t="str">
        <f>"793"</f>
        <v>793</v>
      </c>
      <c r="B797" t="str">
        <f t="shared" si="43"/>
        <v>102</v>
      </c>
      <c r="C797" t="str">
        <f t="shared" si="44"/>
        <v>32</v>
      </c>
      <c r="D797" t="str">
        <f>"17"</f>
        <v>17</v>
      </c>
      <c r="E797" t="str">
        <f>"102-32-17"</f>
        <v>102-32-17</v>
      </c>
      <c r="F797" t="s">
        <v>18</v>
      </c>
      <c r="G797" t="s">
        <v>20</v>
      </c>
      <c r="H797">
        <v>1</v>
      </c>
      <c r="K797">
        <v>0</v>
      </c>
      <c r="L797">
        <v>1</v>
      </c>
      <c r="M797">
        <v>0</v>
      </c>
      <c r="N797">
        <v>1</v>
      </c>
    </row>
    <row r="798" spans="1:16" x14ac:dyDescent="0.25">
      <c r="A798" t="str">
        <f>"794"</f>
        <v>794</v>
      </c>
      <c r="B798" t="str">
        <f t="shared" si="43"/>
        <v>102</v>
      </c>
      <c r="C798" t="str">
        <f t="shared" si="44"/>
        <v>32</v>
      </c>
      <c r="D798" t="str">
        <f>"7"</f>
        <v>7</v>
      </c>
      <c r="E798" t="str">
        <f>"102-32-7"</f>
        <v>102-32-7</v>
      </c>
      <c r="F798" t="s">
        <v>18</v>
      </c>
      <c r="G798" t="s">
        <v>20</v>
      </c>
      <c r="H798">
        <v>1</v>
      </c>
      <c r="K798">
        <v>0</v>
      </c>
      <c r="L798">
        <v>1</v>
      </c>
      <c r="M798">
        <v>0</v>
      </c>
      <c r="N798">
        <v>1</v>
      </c>
    </row>
    <row r="799" spans="1:16" x14ac:dyDescent="0.25">
      <c r="A799" t="str">
        <f>"795"</f>
        <v>795</v>
      </c>
      <c r="B799" t="str">
        <f t="shared" si="43"/>
        <v>102</v>
      </c>
      <c r="C799" t="str">
        <f t="shared" si="44"/>
        <v>32</v>
      </c>
      <c r="D799" t="str">
        <f>"18"</f>
        <v>18</v>
      </c>
      <c r="E799" t="str">
        <f>"102-32-18"</f>
        <v>102-32-18</v>
      </c>
      <c r="F799" t="s">
        <v>18</v>
      </c>
      <c r="G799" t="s">
        <v>20</v>
      </c>
      <c r="H799">
        <v>1</v>
      </c>
      <c r="K799">
        <v>1</v>
      </c>
      <c r="L799">
        <v>0</v>
      </c>
      <c r="M799">
        <v>1</v>
      </c>
      <c r="N799">
        <v>0</v>
      </c>
    </row>
    <row r="800" spans="1:16" x14ac:dyDescent="0.25">
      <c r="A800" t="str">
        <f>"796"</f>
        <v>796</v>
      </c>
      <c r="B800" t="str">
        <f t="shared" si="43"/>
        <v>102</v>
      </c>
      <c r="C800" t="str">
        <f t="shared" si="44"/>
        <v>32</v>
      </c>
      <c r="D800" t="str">
        <f>"9"</f>
        <v>9</v>
      </c>
      <c r="E800" t="str">
        <f>"102-32-9"</f>
        <v>102-32-9</v>
      </c>
      <c r="F800" t="s">
        <v>18</v>
      </c>
      <c r="G800" t="s">
        <v>20</v>
      </c>
      <c r="H800">
        <v>1</v>
      </c>
      <c r="K800">
        <v>0</v>
      </c>
      <c r="L800">
        <v>1</v>
      </c>
      <c r="M800">
        <v>0</v>
      </c>
      <c r="N800">
        <v>1</v>
      </c>
    </row>
    <row r="801" spans="1:16" x14ac:dyDescent="0.25">
      <c r="A801" t="str">
        <f>"797"</f>
        <v>797</v>
      </c>
      <c r="B801" t="str">
        <f t="shared" si="43"/>
        <v>102</v>
      </c>
      <c r="C801" t="str">
        <f t="shared" si="44"/>
        <v>32</v>
      </c>
      <c r="D801" t="str">
        <f>"19"</f>
        <v>19</v>
      </c>
      <c r="E801" t="str">
        <f>"102-32-19"</f>
        <v>102-32-19</v>
      </c>
      <c r="F801" t="s">
        <v>18</v>
      </c>
      <c r="G801" t="s">
        <v>20</v>
      </c>
      <c r="H801">
        <v>1</v>
      </c>
      <c r="K801">
        <v>0</v>
      </c>
      <c r="L801">
        <v>1</v>
      </c>
      <c r="M801">
        <v>0</v>
      </c>
      <c r="N801">
        <v>1</v>
      </c>
    </row>
    <row r="802" spans="1:16" x14ac:dyDescent="0.25">
      <c r="A802" t="str">
        <f>"798"</f>
        <v>798</v>
      </c>
      <c r="B802" t="str">
        <f t="shared" si="43"/>
        <v>102</v>
      </c>
      <c r="C802" t="str">
        <f t="shared" si="44"/>
        <v>32</v>
      </c>
      <c r="D802" t="str">
        <f>"8"</f>
        <v>8</v>
      </c>
      <c r="E802" t="str">
        <f>"102-32-8"</f>
        <v>102-32-8</v>
      </c>
      <c r="F802" t="s">
        <v>18</v>
      </c>
      <c r="G802" t="s">
        <v>20</v>
      </c>
      <c r="H802">
        <v>1</v>
      </c>
      <c r="K802">
        <v>0</v>
      </c>
      <c r="L802">
        <v>1</v>
      </c>
      <c r="M802">
        <v>0</v>
      </c>
      <c r="N802">
        <v>1</v>
      </c>
    </row>
    <row r="803" spans="1:16" x14ac:dyDescent="0.25">
      <c r="A803" t="str">
        <f>"799"</f>
        <v>799</v>
      </c>
      <c r="B803" t="str">
        <f t="shared" si="43"/>
        <v>102</v>
      </c>
      <c r="C803" t="str">
        <f t="shared" si="44"/>
        <v>32</v>
      </c>
      <c r="D803" t="str">
        <f>"20"</f>
        <v>20</v>
      </c>
      <c r="E803" t="str">
        <f>"102-32-20"</f>
        <v>102-32-20</v>
      </c>
      <c r="F803" t="s">
        <v>18</v>
      </c>
      <c r="G803" t="s">
        <v>20</v>
      </c>
      <c r="H803">
        <v>1</v>
      </c>
      <c r="K803">
        <v>0</v>
      </c>
      <c r="L803">
        <v>1</v>
      </c>
      <c r="M803">
        <v>0</v>
      </c>
      <c r="N803">
        <v>1</v>
      </c>
    </row>
    <row r="804" spans="1:16" x14ac:dyDescent="0.25">
      <c r="A804" t="str">
        <f>"800"</f>
        <v>800</v>
      </c>
      <c r="B804" t="str">
        <f t="shared" si="43"/>
        <v>102</v>
      </c>
      <c r="C804" t="str">
        <f t="shared" si="44"/>
        <v>32</v>
      </c>
      <c r="D804" t="str">
        <f>"10"</f>
        <v>10</v>
      </c>
      <c r="E804" t="str">
        <f>"102-32-10"</f>
        <v>102-32-10</v>
      </c>
      <c r="F804" t="s">
        <v>18</v>
      </c>
      <c r="G804" t="s">
        <v>20</v>
      </c>
      <c r="H804">
        <v>1</v>
      </c>
      <c r="K804">
        <v>0</v>
      </c>
      <c r="L804">
        <v>1</v>
      </c>
      <c r="M804">
        <v>0</v>
      </c>
      <c r="N804">
        <v>1</v>
      </c>
    </row>
    <row r="805" spans="1:16" x14ac:dyDescent="0.25">
      <c r="A805" t="str">
        <f>"801"</f>
        <v>801</v>
      </c>
      <c r="B805" t="str">
        <f t="shared" si="43"/>
        <v>102</v>
      </c>
      <c r="C805" t="str">
        <f t="shared" ref="C805:C829" si="45">"33"</f>
        <v>33</v>
      </c>
      <c r="D805" t="str">
        <f>"21"</f>
        <v>21</v>
      </c>
      <c r="E805" t="str">
        <f>"102-33-21"</f>
        <v>102-33-21</v>
      </c>
      <c r="F805" t="s">
        <v>18</v>
      </c>
      <c r="G805" t="s">
        <v>20</v>
      </c>
      <c r="H805">
        <v>1</v>
      </c>
      <c r="K805">
        <v>1</v>
      </c>
      <c r="L805">
        <v>0</v>
      </c>
      <c r="M805">
        <v>1</v>
      </c>
      <c r="N805">
        <v>0</v>
      </c>
    </row>
    <row r="806" spans="1:16" x14ac:dyDescent="0.25">
      <c r="A806" t="str">
        <f>"802"</f>
        <v>802</v>
      </c>
      <c r="B806" t="str">
        <f t="shared" si="43"/>
        <v>102</v>
      </c>
      <c r="C806" t="str">
        <f t="shared" si="45"/>
        <v>33</v>
      </c>
      <c r="D806" t="str">
        <f>"11"</f>
        <v>11</v>
      </c>
      <c r="E806" t="str">
        <f>"102-33-11"</f>
        <v>102-33-11</v>
      </c>
      <c r="F806" t="s">
        <v>18</v>
      </c>
      <c r="G806" t="s">
        <v>20</v>
      </c>
      <c r="H806">
        <v>1</v>
      </c>
      <c r="K806">
        <v>0</v>
      </c>
      <c r="L806">
        <v>1</v>
      </c>
      <c r="M806">
        <v>0</v>
      </c>
      <c r="N806">
        <v>1</v>
      </c>
    </row>
    <row r="807" spans="1:16" x14ac:dyDescent="0.25">
      <c r="A807" t="str">
        <f>"803"</f>
        <v>803</v>
      </c>
      <c r="B807" t="str">
        <f t="shared" si="43"/>
        <v>102</v>
      </c>
      <c r="C807" t="str">
        <f t="shared" si="45"/>
        <v>33</v>
      </c>
      <c r="D807" t="str">
        <f>"2"</f>
        <v>2</v>
      </c>
      <c r="E807" t="str">
        <f>"102-33-2"</f>
        <v>102-33-2</v>
      </c>
      <c r="F807" t="s">
        <v>18</v>
      </c>
      <c r="G807" t="s">
        <v>20</v>
      </c>
      <c r="H807">
        <v>1</v>
      </c>
      <c r="K807">
        <v>1</v>
      </c>
      <c r="L807">
        <v>0</v>
      </c>
      <c r="M807">
        <v>1</v>
      </c>
      <c r="N807">
        <v>0</v>
      </c>
    </row>
    <row r="808" spans="1:16" x14ac:dyDescent="0.25">
      <c r="A808" t="str">
        <f>"804"</f>
        <v>804</v>
      </c>
      <c r="B808" t="str">
        <f t="shared" si="43"/>
        <v>102</v>
      </c>
      <c r="C808" t="str">
        <f t="shared" si="45"/>
        <v>33</v>
      </c>
      <c r="D808" t="str">
        <f>"22"</f>
        <v>22</v>
      </c>
      <c r="E808" t="str">
        <f>"102-33-22"</f>
        <v>102-33-22</v>
      </c>
      <c r="F808" t="s">
        <v>18</v>
      </c>
      <c r="G808" t="s">
        <v>19</v>
      </c>
      <c r="H808">
        <v>2</v>
      </c>
      <c r="I808">
        <v>0</v>
      </c>
      <c r="J808">
        <v>0</v>
      </c>
      <c r="K808">
        <v>0</v>
      </c>
      <c r="L808">
        <v>1</v>
      </c>
      <c r="M808">
        <v>0</v>
      </c>
      <c r="N808">
        <v>1</v>
      </c>
      <c r="O808">
        <v>0</v>
      </c>
      <c r="P808">
        <v>1</v>
      </c>
    </row>
    <row r="809" spans="1:16" x14ac:dyDescent="0.25">
      <c r="A809" t="str">
        <f>"805"</f>
        <v>805</v>
      </c>
      <c r="B809" t="str">
        <f t="shared" si="43"/>
        <v>102</v>
      </c>
      <c r="C809" t="str">
        <f t="shared" si="45"/>
        <v>33</v>
      </c>
      <c r="D809" t="str">
        <f>"12"</f>
        <v>12</v>
      </c>
      <c r="E809" t="str">
        <f>"102-33-12"</f>
        <v>102-33-12</v>
      </c>
      <c r="F809" t="s">
        <v>18</v>
      </c>
      <c r="G809" t="s">
        <v>20</v>
      </c>
      <c r="H809">
        <v>1</v>
      </c>
      <c r="K809">
        <v>1</v>
      </c>
      <c r="L809">
        <v>0</v>
      </c>
      <c r="M809">
        <v>1</v>
      </c>
      <c r="N809">
        <v>0</v>
      </c>
    </row>
    <row r="810" spans="1:16" x14ac:dyDescent="0.25">
      <c r="A810" t="str">
        <f>"806"</f>
        <v>806</v>
      </c>
      <c r="B810" t="str">
        <f t="shared" si="43"/>
        <v>102</v>
      </c>
      <c r="C810" t="str">
        <f t="shared" si="45"/>
        <v>33</v>
      </c>
      <c r="D810" t="str">
        <f>"1"</f>
        <v>1</v>
      </c>
      <c r="E810" t="str">
        <f>"102-33-1"</f>
        <v>102-33-1</v>
      </c>
      <c r="F810" t="s">
        <v>18</v>
      </c>
      <c r="G810" t="s">
        <v>20</v>
      </c>
      <c r="H810">
        <v>1</v>
      </c>
      <c r="K810">
        <v>0</v>
      </c>
      <c r="L810">
        <v>1</v>
      </c>
      <c r="M810">
        <v>0</v>
      </c>
      <c r="N810">
        <v>1</v>
      </c>
    </row>
    <row r="811" spans="1:16" x14ac:dyDescent="0.25">
      <c r="A811" t="str">
        <f>"807"</f>
        <v>807</v>
      </c>
      <c r="B811" t="str">
        <f t="shared" si="43"/>
        <v>102</v>
      </c>
      <c r="C811" t="str">
        <f t="shared" si="45"/>
        <v>33</v>
      </c>
      <c r="D811" t="str">
        <f>"23"</f>
        <v>23</v>
      </c>
      <c r="E811" t="str">
        <f>"102-33-23"</f>
        <v>102-33-23</v>
      </c>
      <c r="F811" t="s">
        <v>18</v>
      </c>
      <c r="G811" t="s">
        <v>19</v>
      </c>
      <c r="H811">
        <v>2</v>
      </c>
      <c r="I811">
        <v>0</v>
      </c>
      <c r="J811">
        <v>0</v>
      </c>
      <c r="K811">
        <v>0</v>
      </c>
      <c r="L811">
        <v>1</v>
      </c>
      <c r="M811">
        <v>0</v>
      </c>
      <c r="N811">
        <v>1</v>
      </c>
      <c r="O811">
        <v>0</v>
      </c>
      <c r="P811">
        <v>1</v>
      </c>
    </row>
    <row r="812" spans="1:16" x14ac:dyDescent="0.25">
      <c r="A812" t="str">
        <f>"808"</f>
        <v>808</v>
      </c>
      <c r="B812" t="str">
        <f t="shared" si="43"/>
        <v>102</v>
      </c>
      <c r="C812" t="str">
        <f t="shared" si="45"/>
        <v>33</v>
      </c>
      <c r="D812" t="str">
        <f>"13"</f>
        <v>13</v>
      </c>
      <c r="E812" t="str">
        <f>"102-33-13"</f>
        <v>102-33-13</v>
      </c>
      <c r="F812" t="s">
        <v>18</v>
      </c>
      <c r="G812" t="s">
        <v>20</v>
      </c>
      <c r="H812">
        <v>1</v>
      </c>
      <c r="K812">
        <v>0</v>
      </c>
      <c r="L812">
        <v>1</v>
      </c>
      <c r="M812">
        <v>0</v>
      </c>
      <c r="N812">
        <v>1</v>
      </c>
    </row>
    <row r="813" spans="1:16" x14ac:dyDescent="0.25">
      <c r="A813" t="str">
        <f>"809"</f>
        <v>809</v>
      </c>
      <c r="B813" t="str">
        <f t="shared" si="43"/>
        <v>102</v>
      </c>
      <c r="C813" t="str">
        <f t="shared" si="45"/>
        <v>33</v>
      </c>
      <c r="D813" t="str">
        <f>"7"</f>
        <v>7</v>
      </c>
      <c r="E813" t="str">
        <f>"102-33-7"</f>
        <v>102-33-7</v>
      </c>
      <c r="F813" t="s">
        <v>18</v>
      </c>
      <c r="G813" t="s">
        <v>20</v>
      </c>
      <c r="H813">
        <v>1</v>
      </c>
      <c r="K813">
        <v>0</v>
      </c>
      <c r="L813">
        <v>1</v>
      </c>
      <c r="M813">
        <v>0</v>
      </c>
      <c r="N813">
        <v>1</v>
      </c>
    </row>
    <row r="814" spans="1:16" x14ac:dyDescent="0.25">
      <c r="A814" t="str">
        <f>"810"</f>
        <v>810</v>
      </c>
      <c r="B814" t="str">
        <f t="shared" si="43"/>
        <v>102</v>
      </c>
      <c r="C814" t="str">
        <f t="shared" si="45"/>
        <v>33</v>
      </c>
      <c r="D814" t="str">
        <f>"24"</f>
        <v>24</v>
      </c>
      <c r="E814" t="str">
        <f>"102-33-24"</f>
        <v>102-33-24</v>
      </c>
      <c r="F814" t="s">
        <v>18</v>
      </c>
      <c r="G814" t="s">
        <v>20</v>
      </c>
      <c r="H814">
        <v>1</v>
      </c>
      <c r="K814">
        <v>1</v>
      </c>
      <c r="L814">
        <v>0</v>
      </c>
      <c r="M814">
        <v>1</v>
      </c>
      <c r="N814">
        <v>0</v>
      </c>
    </row>
    <row r="815" spans="1:16" x14ac:dyDescent="0.25">
      <c r="A815" t="str">
        <f>"811"</f>
        <v>811</v>
      </c>
      <c r="B815" t="str">
        <f t="shared" si="43"/>
        <v>102</v>
      </c>
      <c r="C815" t="str">
        <f t="shared" si="45"/>
        <v>33</v>
      </c>
      <c r="D815" t="str">
        <f>"14"</f>
        <v>14</v>
      </c>
      <c r="E815" t="str">
        <f>"102-33-14"</f>
        <v>102-33-14</v>
      </c>
      <c r="F815" t="s">
        <v>18</v>
      </c>
      <c r="G815" t="s">
        <v>20</v>
      </c>
      <c r="H815">
        <v>1</v>
      </c>
      <c r="K815">
        <v>1</v>
      </c>
      <c r="L815">
        <v>0</v>
      </c>
      <c r="M815">
        <v>1</v>
      </c>
      <c r="N815">
        <v>0</v>
      </c>
    </row>
    <row r="816" spans="1:16" x14ac:dyDescent="0.25">
      <c r="A816" t="str">
        <f>"812"</f>
        <v>812</v>
      </c>
      <c r="B816" t="str">
        <f t="shared" si="43"/>
        <v>102</v>
      </c>
      <c r="C816" t="str">
        <f t="shared" si="45"/>
        <v>33</v>
      </c>
      <c r="D816" t="str">
        <f>"8"</f>
        <v>8</v>
      </c>
      <c r="E816" t="str">
        <f>"102-33-8"</f>
        <v>102-33-8</v>
      </c>
      <c r="F816" t="s">
        <v>18</v>
      </c>
      <c r="G816" t="s">
        <v>20</v>
      </c>
      <c r="H816">
        <v>1</v>
      </c>
      <c r="K816">
        <v>1</v>
      </c>
      <c r="L816">
        <v>0</v>
      </c>
      <c r="M816">
        <v>1</v>
      </c>
      <c r="N816">
        <v>0</v>
      </c>
    </row>
    <row r="817" spans="1:16" x14ac:dyDescent="0.25">
      <c r="A817" t="str">
        <f>"813"</f>
        <v>813</v>
      </c>
      <c r="B817" t="str">
        <f t="shared" si="43"/>
        <v>102</v>
      </c>
      <c r="C817" t="str">
        <f t="shared" si="45"/>
        <v>33</v>
      </c>
      <c r="D817" t="str">
        <f>"25"</f>
        <v>25</v>
      </c>
      <c r="E817" t="str">
        <f>"102-33-25"</f>
        <v>102-33-25</v>
      </c>
      <c r="F817" t="s">
        <v>18</v>
      </c>
      <c r="G817" t="s">
        <v>20</v>
      </c>
      <c r="H817">
        <v>1</v>
      </c>
      <c r="K817">
        <v>0</v>
      </c>
      <c r="L817">
        <v>1</v>
      </c>
      <c r="M817">
        <v>0</v>
      </c>
      <c r="N817">
        <v>1</v>
      </c>
    </row>
    <row r="818" spans="1:16" x14ac:dyDescent="0.25">
      <c r="A818" t="str">
        <f>"814"</f>
        <v>814</v>
      </c>
      <c r="B818" t="str">
        <f t="shared" si="43"/>
        <v>102</v>
      </c>
      <c r="C818" t="str">
        <f t="shared" si="45"/>
        <v>33</v>
      </c>
      <c r="D818" t="str">
        <f>"15"</f>
        <v>15</v>
      </c>
      <c r="E818" t="str">
        <f>"102-33-15"</f>
        <v>102-33-15</v>
      </c>
      <c r="F818" t="s">
        <v>18</v>
      </c>
      <c r="G818" t="s">
        <v>20</v>
      </c>
      <c r="H818">
        <v>1</v>
      </c>
      <c r="K818">
        <v>1</v>
      </c>
      <c r="L818">
        <v>0</v>
      </c>
      <c r="M818">
        <v>1</v>
      </c>
      <c r="N818">
        <v>0</v>
      </c>
    </row>
    <row r="819" spans="1:16" x14ac:dyDescent="0.25">
      <c r="A819" t="str">
        <f>"815"</f>
        <v>815</v>
      </c>
      <c r="B819" t="str">
        <f t="shared" si="43"/>
        <v>102</v>
      </c>
      <c r="C819" t="str">
        <f t="shared" si="45"/>
        <v>33</v>
      </c>
      <c r="D819" t="str">
        <f>"9"</f>
        <v>9</v>
      </c>
      <c r="E819" t="str">
        <f>"102-33-9"</f>
        <v>102-33-9</v>
      </c>
      <c r="F819" t="s">
        <v>18</v>
      </c>
      <c r="G819" t="s">
        <v>20</v>
      </c>
      <c r="H819">
        <v>1</v>
      </c>
      <c r="K819">
        <v>0</v>
      </c>
      <c r="L819">
        <v>1</v>
      </c>
      <c r="M819">
        <v>0</v>
      </c>
      <c r="N819">
        <v>1</v>
      </c>
    </row>
    <row r="820" spans="1:16" x14ac:dyDescent="0.25">
      <c r="A820" t="str">
        <f>"816"</f>
        <v>816</v>
      </c>
      <c r="B820" t="str">
        <f t="shared" si="43"/>
        <v>102</v>
      </c>
      <c r="C820" t="str">
        <f t="shared" si="45"/>
        <v>33</v>
      </c>
      <c r="D820" t="str">
        <f>"16"</f>
        <v>16</v>
      </c>
      <c r="E820" t="str">
        <f>"102-33-16"</f>
        <v>102-33-16</v>
      </c>
      <c r="F820" t="s">
        <v>18</v>
      </c>
      <c r="G820" t="s">
        <v>20</v>
      </c>
      <c r="H820">
        <v>1</v>
      </c>
      <c r="K820">
        <v>1</v>
      </c>
      <c r="L820">
        <v>0</v>
      </c>
      <c r="M820">
        <v>1</v>
      </c>
      <c r="N820">
        <v>0</v>
      </c>
    </row>
    <row r="821" spans="1:16" x14ac:dyDescent="0.25">
      <c r="A821" t="str">
        <f>"817"</f>
        <v>817</v>
      </c>
      <c r="B821" t="str">
        <f t="shared" si="43"/>
        <v>102</v>
      </c>
      <c r="C821" t="str">
        <f t="shared" si="45"/>
        <v>33</v>
      </c>
      <c r="D821" t="str">
        <f>"10"</f>
        <v>10</v>
      </c>
      <c r="E821" t="str">
        <f>"102-33-10"</f>
        <v>102-33-10</v>
      </c>
      <c r="F821" t="s">
        <v>18</v>
      </c>
      <c r="G821" t="s">
        <v>20</v>
      </c>
      <c r="H821">
        <v>1</v>
      </c>
      <c r="K821">
        <v>1</v>
      </c>
      <c r="L821">
        <v>0</v>
      </c>
      <c r="M821">
        <v>1</v>
      </c>
      <c r="N821">
        <v>0</v>
      </c>
    </row>
    <row r="822" spans="1:16" x14ac:dyDescent="0.25">
      <c r="A822" t="str">
        <f>"818"</f>
        <v>818</v>
      </c>
      <c r="B822" t="str">
        <f t="shared" si="43"/>
        <v>102</v>
      </c>
      <c r="C822" t="str">
        <f t="shared" si="45"/>
        <v>33</v>
      </c>
      <c r="D822" t="str">
        <f>"17"</f>
        <v>17</v>
      </c>
      <c r="E822" t="str">
        <f>"102-33-17"</f>
        <v>102-33-17</v>
      </c>
      <c r="F822" t="s">
        <v>18</v>
      </c>
      <c r="G822" t="s">
        <v>20</v>
      </c>
      <c r="H822">
        <v>1</v>
      </c>
      <c r="K822">
        <v>0</v>
      </c>
      <c r="L822">
        <v>1</v>
      </c>
      <c r="M822">
        <v>0</v>
      </c>
      <c r="N822">
        <v>1</v>
      </c>
    </row>
    <row r="823" spans="1:16" x14ac:dyDescent="0.25">
      <c r="A823" t="str">
        <f>"819"</f>
        <v>819</v>
      </c>
      <c r="B823" t="str">
        <f t="shared" si="43"/>
        <v>102</v>
      </c>
      <c r="C823" t="str">
        <f t="shared" si="45"/>
        <v>33</v>
      </c>
      <c r="D823" t="str">
        <f>"4"</f>
        <v>4</v>
      </c>
      <c r="E823" t="str">
        <f>"102-33-4"</f>
        <v>102-33-4</v>
      </c>
      <c r="F823" t="s">
        <v>18</v>
      </c>
      <c r="G823" t="s">
        <v>20</v>
      </c>
      <c r="H823">
        <v>1</v>
      </c>
      <c r="K823">
        <v>0</v>
      </c>
      <c r="L823">
        <v>1</v>
      </c>
      <c r="M823">
        <v>0</v>
      </c>
      <c r="N823">
        <v>1</v>
      </c>
    </row>
    <row r="824" spans="1:16" x14ac:dyDescent="0.25">
      <c r="A824" t="str">
        <f>"820"</f>
        <v>820</v>
      </c>
      <c r="B824" t="str">
        <f t="shared" si="43"/>
        <v>102</v>
      </c>
      <c r="C824" t="str">
        <f t="shared" si="45"/>
        <v>33</v>
      </c>
      <c r="D824" t="str">
        <f>"18"</f>
        <v>18</v>
      </c>
      <c r="E824" t="str">
        <f>"102-33-18"</f>
        <v>102-33-18</v>
      </c>
      <c r="F824" t="s">
        <v>18</v>
      </c>
      <c r="G824" t="s">
        <v>20</v>
      </c>
      <c r="H824">
        <v>1</v>
      </c>
      <c r="K824">
        <v>0</v>
      </c>
      <c r="L824">
        <v>1</v>
      </c>
      <c r="M824">
        <v>0</v>
      </c>
      <c r="N824">
        <v>1</v>
      </c>
    </row>
    <row r="825" spans="1:16" x14ac:dyDescent="0.25">
      <c r="A825" t="str">
        <f>"821"</f>
        <v>821</v>
      </c>
      <c r="B825" t="str">
        <f t="shared" si="43"/>
        <v>102</v>
      </c>
      <c r="C825" t="str">
        <f t="shared" si="45"/>
        <v>33</v>
      </c>
      <c r="D825" t="str">
        <f>"6"</f>
        <v>6</v>
      </c>
      <c r="E825" t="str">
        <f>"102-33-6"</f>
        <v>102-33-6</v>
      </c>
      <c r="F825" t="s">
        <v>18</v>
      </c>
      <c r="G825" t="s">
        <v>20</v>
      </c>
      <c r="H825">
        <v>1</v>
      </c>
      <c r="K825">
        <v>1</v>
      </c>
      <c r="L825">
        <v>0</v>
      </c>
      <c r="M825">
        <v>1</v>
      </c>
      <c r="N825">
        <v>0</v>
      </c>
    </row>
    <row r="826" spans="1:16" x14ac:dyDescent="0.25">
      <c r="A826" t="str">
        <f>"822"</f>
        <v>822</v>
      </c>
      <c r="B826" t="str">
        <f t="shared" si="43"/>
        <v>102</v>
      </c>
      <c r="C826" t="str">
        <f t="shared" si="45"/>
        <v>33</v>
      </c>
      <c r="D826" t="str">
        <f>"19"</f>
        <v>19</v>
      </c>
      <c r="E826" t="str">
        <f>"102-33-19"</f>
        <v>102-33-19</v>
      </c>
      <c r="F826" t="s">
        <v>18</v>
      </c>
      <c r="G826" t="s">
        <v>20</v>
      </c>
      <c r="H826">
        <v>1</v>
      </c>
      <c r="K826">
        <v>0</v>
      </c>
      <c r="L826">
        <v>1</v>
      </c>
      <c r="M826">
        <v>0</v>
      </c>
      <c r="N826">
        <v>1</v>
      </c>
    </row>
    <row r="827" spans="1:16" x14ac:dyDescent="0.25">
      <c r="A827" t="str">
        <f>"823"</f>
        <v>823</v>
      </c>
      <c r="B827" t="str">
        <f t="shared" si="43"/>
        <v>102</v>
      </c>
      <c r="C827" t="str">
        <f t="shared" si="45"/>
        <v>33</v>
      </c>
      <c r="D827" t="str">
        <f>"5"</f>
        <v>5</v>
      </c>
      <c r="E827" t="str">
        <f>"102-33-5"</f>
        <v>102-33-5</v>
      </c>
      <c r="F827" t="s">
        <v>18</v>
      </c>
      <c r="G827" t="s">
        <v>20</v>
      </c>
      <c r="H827">
        <v>1</v>
      </c>
      <c r="K827">
        <v>0</v>
      </c>
      <c r="L827">
        <v>1</v>
      </c>
      <c r="M827">
        <v>0</v>
      </c>
      <c r="N827">
        <v>1</v>
      </c>
    </row>
    <row r="828" spans="1:16" x14ac:dyDescent="0.25">
      <c r="A828" t="str">
        <f>"824"</f>
        <v>824</v>
      </c>
      <c r="B828" t="str">
        <f t="shared" si="43"/>
        <v>102</v>
      </c>
      <c r="C828" t="str">
        <f t="shared" si="45"/>
        <v>33</v>
      </c>
      <c r="D828" t="str">
        <f>"20"</f>
        <v>20</v>
      </c>
      <c r="E828" t="str">
        <f>"102-33-20"</f>
        <v>102-33-20</v>
      </c>
      <c r="F828" t="s">
        <v>18</v>
      </c>
      <c r="G828" t="s">
        <v>20</v>
      </c>
      <c r="H828">
        <v>1</v>
      </c>
      <c r="K828">
        <v>0</v>
      </c>
      <c r="L828">
        <v>1</v>
      </c>
      <c r="M828">
        <v>0</v>
      </c>
      <c r="N828">
        <v>1</v>
      </c>
    </row>
    <row r="829" spans="1:16" x14ac:dyDescent="0.25">
      <c r="A829" t="str">
        <f>"825"</f>
        <v>825</v>
      </c>
      <c r="B829" t="str">
        <f t="shared" si="43"/>
        <v>102</v>
      </c>
      <c r="C829" t="str">
        <f t="shared" si="45"/>
        <v>33</v>
      </c>
      <c r="D829" t="str">
        <f>"3"</f>
        <v>3</v>
      </c>
      <c r="E829" t="str">
        <f>"102-33-3"</f>
        <v>102-33-3</v>
      </c>
      <c r="F829" t="s">
        <v>18</v>
      </c>
      <c r="G829" t="s">
        <v>20</v>
      </c>
      <c r="H829">
        <v>1</v>
      </c>
      <c r="K829">
        <v>0</v>
      </c>
      <c r="L829">
        <v>1</v>
      </c>
      <c r="M829">
        <v>0</v>
      </c>
      <c r="N829">
        <v>1</v>
      </c>
    </row>
    <row r="830" spans="1:16" x14ac:dyDescent="0.25">
      <c r="A830" t="str">
        <f>"826"</f>
        <v>826</v>
      </c>
      <c r="B830" t="str">
        <f t="shared" si="43"/>
        <v>102</v>
      </c>
      <c r="C830" t="str">
        <f t="shared" ref="C830:C854" si="46">"34"</f>
        <v>34</v>
      </c>
      <c r="D830" t="str">
        <f>"23"</f>
        <v>23</v>
      </c>
      <c r="E830" t="str">
        <f>"102-34-23"</f>
        <v>102-34-23</v>
      </c>
      <c r="F830" t="s">
        <v>18</v>
      </c>
      <c r="G830" t="s">
        <v>20</v>
      </c>
      <c r="H830">
        <v>1</v>
      </c>
      <c r="K830">
        <v>0</v>
      </c>
      <c r="L830">
        <v>1</v>
      </c>
      <c r="M830">
        <v>0</v>
      </c>
      <c r="N830">
        <v>1</v>
      </c>
    </row>
    <row r="831" spans="1:16" x14ac:dyDescent="0.25">
      <c r="A831" t="str">
        <f>"827"</f>
        <v>827</v>
      </c>
      <c r="B831" t="str">
        <f t="shared" si="43"/>
        <v>102</v>
      </c>
      <c r="C831" t="str">
        <f t="shared" si="46"/>
        <v>34</v>
      </c>
      <c r="D831" t="str">
        <f>"11"</f>
        <v>11</v>
      </c>
      <c r="E831" t="str">
        <f>"102-34-11"</f>
        <v>102-34-11</v>
      </c>
      <c r="F831" t="s">
        <v>18</v>
      </c>
      <c r="G831" t="s">
        <v>19</v>
      </c>
      <c r="H831">
        <v>2</v>
      </c>
      <c r="I831">
        <v>1</v>
      </c>
      <c r="J831">
        <v>1</v>
      </c>
      <c r="K831">
        <v>1</v>
      </c>
      <c r="L831">
        <v>0</v>
      </c>
      <c r="M831">
        <v>1</v>
      </c>
      <c r="N831">
        <v>0</v>
      </c>
      <c r="O831">
        <v>1</v>
      </c>
      <c r="P831">
        <v>0</v>
      </c>
    </row>
    <row r="832" spans="1:16" x14ac:dyDescent="0.25">
      <c r="A832" t="str">
        <f>"828"</f>
        <v>828</v>
      </c>
      <c r="B832" t="str">
        <f t="shared" si="43"/>
        <v>102</v>
      </c>
      <c r="C832" t="str">
        <f t="shared" si="46"/>
        <v>34</v>
      </c>
      <c r="D832" t="str">
        <f>"1"</f>
        <v>1</v>
      </c>
      <c r="E832" t="str">
        <f>"102-34-1"</f>
        <v>102-34-1</v>
      </c>
      <c r="F832" t="s">
        <v>18</v>
      </c>
      <c r="G832" t="s">
        <v>20</v>
      </c>
      <c r="H832">
        <v>1</v>
      </c>
      <c r="K832">
        <v>0</v>
      </c>
      <c r="L832">
        <v>1</v>
      </c>
      <c r="M832">
        <v>0</v>
      </c>
      <c r="N832">
        <v>1</v>
      </c>
    </row>
    <row r="833" spans="1:16" x14ac:dyDescent="0.25">
      <c r="A833" t="str">
        <f>"829"</f>
        <v>829</v>
      </c>
      <c r="B833" t="str">
        <f t="shared" si="43"/>
        <v>102</v>
      </c>
      <c r="C833" t="str">
        <f t="shared" si="46"/>
        <v>34</v>
      </c>
      <c r="D833" t="str">
        <f>"25"</f>
        <v>25</v>
      </c>
      <c r="E833" t="str">
        <f>"102-34-25"</f>
        <v>102-34-25</v>
      </c>
      <c r="F833" t="s">
        <v>18</v>
      </c>
      <c r="G833" t="s">
        <v>20</v>
      </c>
      <c r="H833">
        <v>1</v>
      </c>
      <c r="K833">
        <v>0</v>
      </c>
      <c r="L833">
        <v>1</v>
      </c>
      <c r="M833">
        <v>0</v>
      </c>
      <c r="N833">
        <v>1</v>
      </c>
    </row>
    <row r="834" spans="1:16" x14ac:dyDescent="0.25">
      <c r="A834" t="str">
        <f>"830"</f>
        <v>830</v>
      </c>
      <c r="B834" t="str">
        <f t="shared" si="43"/>
        <v>102</v>
      </c>
      <c r="C834" t="str">
        <f t="shared" si="46"/>
        <v>34</v>
      </c>
      <c r="D834" t="str">
        <f>"24"</f>
        <v>24</v>
      </c>
      <c r="E834" t="str">
        <f>"102-34-24"</f>
        <v>102-34-24</v>
      </c>
      <c r="F834" t="s">
        <v>18</v>
      </c>
      <c r="G834" t="s">
        <v>20</v>
      </c>
      <c r="H834">
        <v>1</v>
      </c>
      <c r="K834">
        <v>1</v>
      </c>
      <c r="L834">
        <v>0</v>
      </c>
      <c r="M834">
        <v>1</v>
      </c>
      <c r="N834">
        <v>0</v>
      </c>
    </row>
    <row r="835" spans="1:16" x14ac:dyDescent="0.25">
      <c r="A835" t="str">
        <f>"831"</f>
        <v>831</v>
      </c>
      <c r="B835" t="str">
        <f t="shared" si="43"/>
        <v>102</v>
      </c>
      <c r="C835" t="str">
        <f t="shared" si="46"/>
        <v>34</v>
      </c>
      <c r="D835" t="str">
        <f>"18"</f>
        <v>18</v>
      </c>
      <c r="E835" t="str">
        <f>"102-34-18"</f>
        <v>102-34-18</v>
      </c>
      <c r="F835" t="s">
        <v>18</v>
      </c>
      <c r="G835" t="s">
        <v>20</v>
      </c>
      <c r="H835">
        <v>1</v>
      </c>
      <c r="K835">
        <v>0</v>
      </c>
      <c r="L835">
        <v>1</v>
      </c>
      <c r="M835">
        <v>0</v>
      </c>
      <c r="N835">
        <v>1</v>
      </c>
    </row>
    <row r="836" spans="1:16" x14ac:dyDescent="0.25">
      <c r="A836" t="str">
        <f>"832"</f>
        <v>832</v>
      </c>
      <c r="B836" t="str">
        <f t="shared" si="43"/>
        <v>102</v>
      </c>
      <c r="C836" t="str">
        <f t="shared" si="46"/>
        <v>34</v>
      </c>
      <c r="D836" t="str">
        <f>"12"</f>
        <v>12</v>
      </c>
      <c r="E836" t="str">
        <f>"102-34-12"</f>
        <v>102-34-12</v>
      </c>
      <c r="F836" t="s">
        <v>18</v>
      </c>
      <c r="G836" t="s">
        <v>19</v>
      </c>
      <c r="H836">
        <v>2</v>
      </c>
      <c r="I836">
        <v>1</v>
      </c>
      <c r="J836">
        <v>1</v>
      </c>
      <c r="K836">
        <v>1</v>
      </c>
      <c r="L836">
        <v>0</v>
      </c>
      <c r="M836">
        <v>1</v>
      </c>
      <c r="N836">
        <v>0</v>
      </c>
      <c r="O836">
        <v>1</v>
      </c>
      <c r="P836">
        <v>0</v>
      </c>
    </row>
    <row r="837" spans="1:16" x14ac:dyDescent="0.25">
      <c r="A837" t="str">
        <f>"833"</f>
        <v>833</v>
      </c>
      <c r="B837" t="str">
        <f t="shared" ref="B837:B900" si="47">"102"</f>
        <v>102</v>
      </c>
      <c r="C837" t="str">
        <f t="shared" si="46"/>
        <v>34</v>
      </c>
      <c r="D837" t="str">
        <f>"2"</f>
        <v>2</v>
      </c>
      <c r="E837" t="str">
        <f>"102-34-2"</f>
        <v>102-34-2</v>
      </c>
      <c r="F837" t="s">
        <v>18</v>
      </c>
      <c r="G837" t="s">
        <v>20</v>
      </c>
      <c r="H837">
        <v>1</v>
      </c>
      <c r="K837">
        <v>0</v>
      </c>
      <c r="L837">
        <v>1</v>
      </c>
      <c r="M837">
        <v>0</v>
      </c>
      <c r="N837">
        <v>1</v>
      </c>
    </row>
    <row r="838" spans="1:16" x14ac:dyDescent="0.25">
      <c r="A838" t="str">
        <f>"834"</f>
        <v>834</v>
      </c>
      <c r="B838" t="str">
        <f t="shared" si="47"/>
        <v>102</v>
      </c>
      <c r="C838" t="str">
        <f t="shared" si="46"/>
        <v>34</v>
      </c>
      <c r="D838" t="str">
        <f>"20"</f>
        <v>20</v>
      </c>
      <c r="E838" t="str">
        <f>"102-34-20"</f>
        <v>102-34-20</v>
      </c>
      <c r="F838" t="s">
        <v>18</v>
      </c>
      <c r="G838" t="s">
        <v>20</v>
      </c>
      <c r="H838">
        <v>1</v>
      </c>
      <c r="K838">
        <v>1</v>
      </c>
      <c r="L838">
        <v>0</v>
      </c>
      <c r="M838">
        <v>1</v>
      </c>
      <c r="N838">
        <v>0</v>
      </c>
    </row>
    <row r="839" spans="1:16" x14ac:dyDescent="0.25">
      <c r="A839" t="str">
        <f>"835"</f>
        <v>835</v>
      </c>
      <c r="B839" t="str">
        <f t="shared" si="47"/>
        <v>102</v>
      </c>
      <c r="C839" t="str">
        <f t="shared" si="46"/>
        <v>34</v>
      </c>
      <c r="D839" t="str">
        <f>"13"</f>
        <v>13</v>
      </c>
      <c r="E839" t="str">
        <f>"102-34-13"</f>
        <v>102-34-13</v>
      </c>
      <c r="F839" t="s">
        <v>18</v>
      </c>
      <c r="G839" t="s">
        <v>19</v>
      </c>
      <c r="H839">
        <v>2</v>
      </c>
      <c r="I839">
        <v>1</v>
      </c>
      <c r="J839">
        <v>1</v>
      </c>
      <c r="K839">
        <v>0</v>
      </c>
      <c r="L839">
        <v>1</v>
      </c>
      <c r="M839">
        <v>0</v>
      </c>
      <c r="N839">
        <v>1</v>
      </c>
      <c r="O839">
        <v>1</v>
      </c>
      <c r="P839">
        <v>0</v>
      </c>
    </row>
    <row r="840" spans="1:16" x14ac:dyDescent="0.25">
      <c r="A840" t="str">
        <f>"836"</f>
        <v>836</v>
      </c>
      <c r="B840" t="str">
        <f t="shared" si="47"/>
        <v>102</v>
      </c>
      <c r="C840" t="str">
        <f t="shared" si="46"/>
        <v>34</v>
      </c>
      <c r="D840" t="str">
        <f>"5"</f>
        <v>5</v>
      </c>
      <c r="E840" t="str">
        <f>"102-34-5"</f>
        <v>102-34-5</v>
      </c>
      <c r="F840" t="s">
        <v>18</v>
      </c>
      <c r="G840" t="s">
        <v>20</v>
      </c>
      <c r="H840">
        <v>1</v>
      </c>
      <c r="K840">
        <v>0</v>
      </c>
      <c r="L840">
        <v>1</v>
      </c>
      <c r="M840">
        <v>0</v>
      </c>
      <c r="N840">
        <v>1</v>
      </c>
    </row>
    <row r="841" spans="1:16" x14ac:dyDescent="0.25">
      <c r="A841" t="str">
        <f>"837"</f>
        <v>837</v>
      </c>
      <c r="B841" t="str">
        <f t="shared" si="47"/>
        <v>102</v>
      </c>
      <c r="C841" t="str">
        <f t="shared" si="46"/>
        <v>34</v>
      </c>
      <c r="D841" t="str">
        <f>"14"</f>
        <v>14</v>
      </c>
      <c r="E841" t="str">
        <f>"102-34-14"</f>
        <v>102-34-14</v>
      </c>
      <c r="F841" t="s">
        <v>18</v>
      </c>
      <c r="G841" t="s">
        <v>20</v>
      </c>
      <c r="H841">
        <v>1</v>
      </c>
      <c r="K841">
        <v>0</v>
      </c>
      <c r="L841">
        <v>1</v>
      </c>
      <c r="M841">
        <v>0</v>
      </c>
      <c r="N841">
        <v>1</v>
      </c>
    </row>
    <row r="842" spans="1:16" x14ac:dyDescent="0.25">
      <c r="A842" t="str">
        <f>"838"</f>
        <v>838</v>
      </c>
      <c r="B842" t="str">
        <f t="shared" si="47"/>
        <v>102</v>
      </c>
      <c r="C842" t="str">
        <f t="shared" si="46"/>
        <v>34</v>
      </c>
      <c r="D842" t="str">
        <f>"3"</f>
        <v>3</v>
      </c>
      <c r="E842" t="str">
        <f>"102-34-3"</f>
        <v>102-34-3</v>
      </c>
      <c r="F842" t="s">
        <v>18</v>
      </c>
      <c r="G842" t="s">
        <v>20</v>
      </c>
      <c r="H842">
        <v>1</v>
      </c>
      <c r="K842">
        <v>1</v>
      </c>
      <c r="L842">
        <v>0</v>
      </c>
      <c r="M842">
        <v>1</v>
      </c>
      <c r="N842">
        <v>0</v>
      </c>
    </row>
    <row r="843" spans="1:16" x14ac:dyDescent="0.25">
      <c r="A843" t="str">
        <f>"839"</f>
        <v>839</v>
      </c>
      <c r="B843" t="str">
        <f t="shared" si="47"/>
        <v>102</v>
      </c>
      <c r="C843" t="str">
        <f t="shared" si="46"/>
        <v>34</v>
      </c>
      <c r="D843" t="str">
        <f>"15"</f>
        <v>15</v>
      </c>
      <c r="E843" t="str">
        <f>"102-34-15"</f>
        <v>102-34-15</v>
      </c>
      <c r="F843" t="s">
        <v>18</v>
      </c>
      <c r="G843" t="s">
        <v>19</v>
      </c>
      <c r="H843">
        <v>2</v>
      </c>
      <c r="I843">
        <v>1</v>
      </c>
      <c r="J843">
        <v>1</v>
      </c>
      <c r="K843">
        <v>0</v>
      </c>
      <c r="L843">
        <v>1</v>
      </c>
      <c r="M843">
        <v>0</v>
      </c>
      <c r="N843">
        <v>1</v>
      </c>
      <c r="O843">
        <v>0</v>
      </c>
      <c r="P843">
        <v>1</v>
      </c>
    </row>
    <row r="844" spans="1:16" x14ac:dyDescent="0.25">
      <c r="A844" t="str">
        <f>"840"</f>
        <v>840</v>
      </c>
      <c r="B844" t="str">
        <f t="shared" si="47"/>
        <v>102</v>
      </c>
      <c r="C844" t="str">
        <f t="shared" si="46"/>
        <v>34</v>
      </c>
      <c r="D844" t="str">
        <f>"6"</f>
        <v>6</v>
      </c>
      <c r="E844" t="str">
        <f>"102-34-6"</f>
        <v>102-34-6</v>
      </c>
      <c r="F844" t="s">
        <v>18</v>
      </c>
      <c r="G844" t="s">
        <v>20</v>
      </c>
      <c r="H844">
        <v>1</v>
      </c>
      <c r="K844">
        <v>0</v>
      </c>
      <c r="L844">
        <v>1</v>
      </c>
      <c r="M844">
        <v>0</v>
      </c>
      <c r="N844">
        <v>1</v>
      </c>
    </row>
    <row r="845" spans="1:16" x14ac:dyDescent="0.25">
      <c r="A845" t="str">
        <f>"841"</f>
        <v>841</v>
      </c>
      <c r="B845" t="str">
        <f t="shared" si="47"/>
        <v>102</v>
      </c>
      <c r="C845" t="str">
        <f t="shared" si="46"/>
        <v>34</v>
      </c>
      <c r="D845" t="str">
        <f>"16"</f>
        <v>16</v>
      </c>
      <c r="E845" t="str">
        <f>"102-34-16"</f>
        <v>102-34-16</v>
      </c>
      <c r="F845" t="s">
        <v>18</v>
      </c>
      <c r="G845" t="s">
        <v>20</v>
      </c>
      <c r="H845">
        <v>1</v>
      </c>
      <c r="K845">
        <v>0</v>
      </c>
      <c r="L845">
        <v>1</v>
      </c>
      <c r="M845">
        <v>0</v>
      </c>
      <c r="N845">
        <v>1</v>
      </c>
    </row>
    <row r="846" spans="1:16" x14ac:dyDescent="0.25">
      <c r="A846" t="str">
        <f>"842"</f>
        <v>842</v>
      </c>
      <c r="B846" t="str">
        <f t="shared" si="47"/>
        <v>102</v>
      </c>
      <c r="C846" t="str">
        <f t="shared" si="46"/>
        <v>34</v>
      </c>
      <c r="D846" t="str">
        <f>"8"</f>
        <v>8</v>
      </c>
      <c r="E846" t="str">
        <f>"102-34-8"</f>
        <v>102-34-8</v>
      </c>
      <c r="F846" t="s">
        <v>18</v>
      </c>
      <c r="G846" t="s">
        <v>20</v>
      </c>
      <c r="H846">
        <v>1</v>
      </c>
      <c r="K846">
        <v>1</v>
      </c>
      <c r="L846">
        <v>0</v>
      </c>
      <c r="M846">
        <v>1</v>
      </c>
      <c r="N846">
        <v>0</v>
      </c>
    </row>
    <row r="847" spans="1:16" x14ac:dyDescent="0.25">
      <c r="A847" t="str">
        <f>"843"</f>
        <v>843</v>
      </c>
      <c r="B847" t="str">
        <f t="shared" si="47"/>
        <v>102</v>
      </c>
      <c r="C847" t="str">
        <f t="shared" si="46"/>
        <v>34</v>
      </c>
      <c r="D847" t="str">
        <f>"17"</f>
        <v>17</v>
      </c>
      <c r="E847" t="str">
        <f>"102-34-17"</f>
        <v>102-34-17</v>
      </c>
      <c r="F847" t="s">
        <v>18</v>
      </c>
      <c r="G847" t="s">
        <v>20</v>
      </c>
      <c r="H847">
        <v>1</v>
      </c>
      <c r="K847">
        <v>0</v>
      </c>
      <c r="L847">
        <v>1</v>
      </c>
      <c r="M847">
        <v>0</v>
      </c>
      <c r="N847">
        <v>1</v>
      </c>
    </row>
    <row r="848" spans="1:16" x14ac:dyDescent="0.25">
      <c r="A848" t="str">
        <f>"844"</f>
        <v>844</v>
      </c>
      <c r="B848" t="str">
        <f t="shared" si="47"/>
        <v>102</v>
      </c>
      <c r="C848" t="str">
        <f t="shared" si="46"/>
        <v>34</v>
      </c>
      <c r="D848" t="str">
        <f>"4"</f>
        <v>4</v>
      </c>
      <c r="E848" t="str">
        <f>"102-34-4"</f>
        <v>102-34-4</v>
      </c>
      <c r="F848" t="s">
        <v>18</v>
      </c>
      <c r="G848" t="s">
        <v>20</v>
      </c>
      <c r="H848">
        <v>1</v>
      </c>
      <c r="K848">
        <v>0</v>
      </c>
      <c r="L848">
        <v>1</v>
      </c>
      <c r="M848">
        <v>0</v>
      </c>
      <c r="N848">
        <v>1</v>
      </c>
    </row>
    <row r="849" spans="1:16" x14ac:dyDescent="0.25">
      <c r="A849" t="str">
        <f>"845"</f>
        <v>845</v>
      </c>
      <c r="B849" t="str">
        <f t="shared" si="47"/>
        <v>102</v>
      </c>
      <c r="C849" t="str">
        <f t="shared" si="46"/>
        <v>34</v>
      </c>
      <c r="D849" t="str">
        <f>"19"</f>
        <v>19</v>
      </c>
      <c r="E849" t="str">
        <f>"102-34-19"</f>
        <v>102-34-19</v>
      </c>
      <c r="F849" t="s">
        <v>18</v>
      </c>
      <c r="G849" t="s">
        <v>20</v>
      </c>
      <c r="H849">
        <v>1</v>
      </c>
      <c r="K849">
        <v>0</v>
      </c>
      <c r="L849">
        <v>1</v>
      </c>
      <c r="M849">
        <v>0</v>
      </c>
      <c r="N849">
        <v>1</v>
      </c>
    </row>
    <row r="850" spans="1:16" x14ac:dyDescent="0.25">
      <c r="A850" t="str">
        <f>"846"</f>
        <v>846</v>
      </c>
      <c r="B850" t="str">
        <f t="shared" si="47"/>
        <v>102</v>
      </c>
      <c r="C850" t="str">
        <f t="shared" si="46"/>
        <v>34</v>
      </c>
      <c r="D850" t="str">
        <f>"9"</f>
        <v>9</v>
      </c>
      <c r="E850" t="str">
        <f>"102-34-9"</f>
        <v>102-34-9</v>
      </c>
      <c r="F850" t="s">
        <v>18</v>
      </c>
      <c r="G850" t="s">
        <v>19</v>
      </c>
      <c r="H850">
        <v>2</v>
      </c>
      <c r="I850">
        <v>1</v>
      </c>
      <c r="J850">
        <v>1</v>
      </c>
      <c r="K850">
        <v>0</v>
      </c>
      <c r="L850">
        <v>1</v>
      </c>
      <c r="M850">
        <v>0</v>
      </c>
      <c r="N850">
        <v>1</v>
      </c>
      <c r="O850">
        <v>1</v>
      </c>
      <c r="P850">
        <v>0</v>
      </c>
    </row>
    <row r="851" spans="1:16" x14ac:dyDescent="0.25">
      <c r="A851" t="str">
        <f>"847"</f>
        <v>847</v>
      </c>
      <c r="B851" t="str">
        <f t="shared" si="47"/>
        <v>102</v>
      </c>
      <c r="C851" t="str">
        <f t="shared" si="46"/>
        <v>34</v>
      </c>
      <c r="D851" t="str">
        <f>"21"</f>
        <v>21</v>
      </c>
      <c r="E851" t="str">
        <f>"102-34-21"</f>
        <v>102-34-21</v>
      </c>
      <c r="F851" t="s">
        <v>18</v>
      </c>
      <c r="G851" t="s">
        <v>20</v>
      </c>
      <c r="H851">
        <v>1</v>
      </c>
      <c r="K851">
        <v>0</v>
      </c>
      <c r="L851">
        <v>1</v>
      </c>
      <c r="M851">
        <v>0</v>
      </c>
      <c r="N851">
        <v>1</v>
      </c>
    </row>
    <row r="852" spans="1:16" x14ac:dyDescent="0.25">
      <c r="A852" t="str">
        <f>"848"</f>
        <v>848</v>
      </c>
      <c r="B852" t="str">
        <f t="shared" si="47"/>
        <v>102</v>
      </c>
      <c r="C852" t="str">
        <f t="shared" si="46"/>
        <v>34</v>
      </c>
      <c r="D852" t="str">
        <f>"7"</f>
        <v>7</v>
      </c>
      <c r="E852" t="str">
        <f>"102-34-7"</f>
        <v>102-34-7</v>
      </c>
      <c r="F852" t="s">
        <v>18</v>
      </c>
      <c r="G852" t="s">
        <v>19</v>
      </c>
      <c r="H852">
        <v>2</v>
      </c>
      <c r="I852">
        <v>1</v>
      </c>
      <c r="J852">
        <v>1</v>
      </c>
      <c r="K852">
        <v>1</v>
      </c>
      <c r="L852">
        <v>0</v>
      </c>
      <c r="M852">
        <v>1</v>
      </c>
      <c r="N852">
        <v>0</v>
      </c>
      <c r="O852">
        <v>1</v>
      </c>
      <c r="P852">
        <v>0</v>
      </c>
    </row>
    <row r="853" spans="1:16" x14ac:dyDescent="0.25">
      <c r="A853" t="str">
        <f>"849"</f>
        <v>849</v>
      </c>
      <c r="B853" t="str">
        <f t="shared" si="47"/>
        <v>102</v>
      </c>
      <c r="C853" t="str">
        <f t="shared" si="46"/>
        <v>34</v>
      </c>
      <c r="D853" t="str">
        <f>"22"</f>
        <v>22</v>
      </c>
      <c r="E853" t="str">
        <f>"102-34-22"</f>
        <v>102-34-22</v>
      </c>
      <c r="F853" t="s">
        <v>18</v>
      </c>
      <c r="G853" t="s">
        <v>20</v>
      </c>
      <c r="H853">
        <v>1</v>
      </c>
      <c r="K853">
        <v>1</v>
      </c>
      <c r="L853">
        <v>0</v>
      </c>
      <c r="M853">
        <v>1</v>
      </c>
      <c r="N853">
        <v>0</v>
      </c>
    </row>
    <row r="854" spans="1:16" x14ac:dyDescent="0.25">
      <c r="A854" t="str">
        <f>"850"</f>
        <v>850</v>
      </c>
      <c r="B854" t="str">
        <f t="shared" si="47"/>
        <v>102</v>
      </c>
      <c r="C854" t="str">
        <f t="shared" si="46"/>
        <v>34</v>
      </c>
      <c r="D854" t="str">
        <f>"10"</f>
        <v>10</v>
      </c>
      <c r="E854" t="str">
        <f>"102-34-10"</f>
        <v>102-34-10</v>
      </c>
      <c r="F854" t="s">
        <v>18</v>
      </c>
      <c r="G854" t="s">
        <v>19</v>
      </c>
      <c r="H854">
        <v>2</v>
      </c>
      <c r="I854">
        <v>1</v>
      </c>
      <c r="J854">
        <v>1</v>
      </c>
      <c r="K854">
        <v>0</v>
      </c>
      <c r="L854">
        <v>1</v>
      </c>
      <c r="M854">
        <v>0</v>
      </c>
      <c r="N854">
        <v>1</v>
      </c>
      <c r="O854">
        <v>0</v>
      </c>
      <c r="P854">
        <v>1</v>
      </c>
    </row>
    <row r="855" spans="1:16" x14ac:dyDescent="0.25">
      <c r="A855" t="str">
        <f>"851"</f>
        <v>851</v>
      </c>
      <c r="B855" t="str">
        <f t="shared" si="47"/>
        <v>102</v>
      </c>
      <c r="C855" t="str">
        <f t="shared" ref="C855:C879" si="48">"35"</f>
        <v>35</v>
      </c>
      <c r="D855" t="str">
        <f>"18"</f>
        <v>18</v>
      </c>
      <c r="E855" t="str">
        <f>"102-35-18"</f>
        <v>102-35-18</v>
      </c>
      <c r="F855" t="s">
        <v>18</v>
      </c>
      <c r="G855" t="s">
        <v>20</v>
      </c>
      <c r="H855">
        <v>1</v>
      </c>
      <c r="K855">
        <v>1</v>
      </c>
      <c r="L855">
        <v>0</v>
      </c>
      <c r="M855">
        <v>1</v>
      </c>
      <c r="N855">
        <v>0</v>
      </c>
    </row>
    <row r="856" spans="1:16" x14ac:dyDescent="0.25">
      <c r="A856" t="str">
        <f>"852"</f>
        <v>852</v>
      </c>
      <c r="B856" t="str">
        <f t="shared" si="47"/>
        <v>102</v>
      </c>
      <c r="C856" t="str">
        <f t="shared" si="48"/>
        <v>35</v>
      </c>
      <c r="D856" t="str">
        <f>"11"</f>
        <v>11</v>
      </c>
      <c r="E856" t="str">
        <f>"102-35-11"</f>
        <v>102-35-11</v>
      </c>
      <c r="F856" t="s">
        <v>18</v>
      </c>
      <c r="G856" t="s">
        <v>20</v>
      </c>
      <c r="H856">
        <v>1</v>
      </c>
      <c r="K856">
        <v>0</v>
      </c>
      <c r="L856">
        <v>1</v>
      </c>
      <c r="M856">
        <v>0</v>
      </c>
      <c r="N856">
        <v>1</v>
      </c>
    </row>
    <row r="857" spans="1:16" x14ac:dyDescent="0.25">
      <c r="A857" t="str">
        <f>"853"</f>
        <v>853</v>
      </c>
      <c r="B857" t="str">
        <f t="shared" si="47"/>
        <v>102</v>
      </c>
      <c r="C857" t="str">
        <f t="shared" si="48"/>
        <v>35</v>
      </c>
      <c r="D857" t="str">
        <f>"1"</f>
        <v>1</v>
      </c>
      <c r="E857" t="str">
        <f>"102-35-1"</f>
        <v>102-35-1</v>
      </c>
      <c r="F857" t="s">
        <v>18</v>
      </c>
      <c r="G857" t="s">
        <v>20</v>
      </c>
      <c r="H857">
        <v>1</v>
      </c>
      <c r="K857">
        <v>1</v>
      </c>
      <c r="L857">
        <v>0</v>
      </c>
      <c r="M857">
        <v>1</v>
      </c>
      <c r="N857">
        <v>0</v>
      </c>
    </row>
    <row r="858" spans="1:16" x14ac:dyDescent="0.25">
      <c r="A858" t="str">
        <f>"854"</f>
        <v>854</v>
      </c>
      <c r="B858" t="str">
        <f t="shared" si="47"/>
        <v>102</v>
      </c>
      <c r="C858" t="str">
        <f t="shared" si="48"/>
        <v>35</v>
      </c>
      <c r="D858" t="str">
        <f>"23"</f>
        <v>23</v>
      </c>
      <c r="E858" t="str">
        <f>"102-35-23"</f>
        <v>102-35-23</v>
      </c>
      <c r="F858" t="s">
        <v>18</v>
      </c>
      <c r="G858" t="s">
        <v>20</v>
      </c>
      <c r="H858">
        <v>1</v>
      </c>
      <c r="K858">
        <v>0</v>
      </c>
      <c r="L858">
        <v>1</v>
      </c>
      <c r="M858">
        <v>0</v>
      </c>
      <c r="N858">
        <v>1</v>
      </c>
    </row>
    <row r="859" spans="1:16" x14ac:dyDescent="0.25">
      <c r="A859" t="str">
        <f>"855"</f>
        <v>855</v>
      </c>
      <c r="B859" t="str">
        <f t="shared" si="47"/>
        <v>102</v>
      </c>
      <c r="C859" t="str">
        <f t="shared" si="48"/>
        <v>35</v>
      </c>
      <c r="D859" t="str">
        <f>"12"</f>
        <v>12</v>
      </c>
      <c r="E859" t="str">
        <f>"102-35-12"</f>
        <v>102-35-12</v>
      </c>
      <c r="F859" t="s">
        <v>18</v>
      </c>
      <c r="G859" t="s">
        <v>20</v>
      </c>
      <c r="H859">
        <v>1</v>
      </c>
      <c r="K859">
        <v>0</v>
      </c>
      <c r="L859">
        <v>1</v>
      </c>
      <c r="M859">
        <v>0</v>
      </c>
      <c r="N859">
        <v>1</v>
      </c>
    </row>
    <row r="860" spans="1:16" x14ac:dyDescent="0.25">
      <c r="A860" t="str">
        <f>"856"</f>
        <v>856</v>
      </c>
      <c r="B860" t="str">
        <f t="shared" si="47"/>
        <v>102</v>
      </c>
      <c r="C860" t="str">
        <f t="shared" si="48"/>
        <v>35</v>
      </c>
      <c r="D860" t="str">
        <f>"2"</f>
        <v>2</v>
      </c>
      <c r="E860" t="str">
        <f>"102-35-2"</f>
        <v>102-35-2</v>
      </c>
      <c r="F860" t="s">
        <v>18</v>
      </c>
      <c r="G860" t="s">
        <v>20</v>
      </c>
      <c r="H860">
        <v>1</v>
      </c>
      <c r="K860">
        <v>0</v>
      </c>
      <c r="L860">
        <v>1</v>
      </c>
      <c r="M860">
        <v>0</v>
      </c>
      <c r="N860">
        <v>1</v>
      </c>
    </row>
    <row r="861" spans="1:16" x14ac:dyDescent="0.25">
      <c r="A861" t="str">
        <f>"857"</f>
        <v>857</v>
      </c>
      <c r="B861" t="str">
        <f t="shared" si="47"/>
        <v>102</v>
      </c>
      <c r="C861" t="str">
        <f t="shared" si="48"/>
        <v>35</v>
      </c>
      <c r="D861" t="str">
        <f>"24"</f>
        <v>24</v>
      </c>
      <c r="E861" t="str">
        <f>"102-35-24"</f>
        <v>102-35-24</v>
      </c>
      <c r="F861" t="s">
        <v>18</v>
      </c>
      <c r="G861" t="s">
        <v>20</v>
      </c>
      <c r="H861">
        <v>1</v>
      </c>
      <c r="K861">
        <v>1</v>
      </c>
      <c r="L861">
        <v>0</v>
      </c>
      <c r="M861">
        <v>1</v>
      </c>
      <c r="N861">
        <v>0</v>
      </c>
    </row>
    <row r="862" spans="1:16" x14ac:dyDescent="0.25">
      <c r="A862" t="str">
        <f>"858"</f>
        <v>858</v>
      </c>
      <c r="B862" t="str">
        <f t="shared" si="47"/>
        <v>102</v>
      </c>
      <c r="C862" t="str">
        <f t="shared" si="48"/>
        <v>35</v>
      </c>
      <c r="D862" t="str">
        <f>"13"</f>
        <v>13</v>
      </c>
      <c r="E862" t="str">
        <f>"102-35-13"</f>
        <v>102-35-13</v>
      </c>
      <c r="F862" t="s">
        <v>18</v>
      </c>
      <c r="G862" t="s">
        <v>20</v>
      </c>
      <c r="H862">
        <v>1</v>
      </c>
      <c r="K862">
        <v>1</v>
      </c>
      <c r="L862">
        <v>0</v>
      </c>
      <c r="M862">
        <v>1</v>
      </c>
      <c r="N862">
        <v>0</v>
      </c>
    </row>
    <row r="863" spans="1:16" x14ac:dyDescent="0.25">
      <c r="A863" t="str">
        <f>"859"</f>
        <v>859</v>
      </c>
      <c r="B863" t="str">
        <f t="shared" si="47"/>
        <v>102</v>
      </c>
      <c r="C863" t="str">
        <f t="shared" si="48"/>
        <v>35</v>
      </c>
      <c r="D863" t="str">
        <f>"4"</f>
        <v>4</v>
      </c>
      <c r="E863" t="str">
        <f>"102-35-4"</f>
        <v>102-35-4</v>
      </c>
      <c r="F863" t="s">
        <v>18</v>
      </c>
      <c r="G863" t="s">
        <v>20</v>
      </c>
      <c r="H863">
        <v>1</v>
      </c>
      <c r="K863">
        <v>0</v>
      </c>
      <c r="L863">
        <v>1</v>
      </c>
      <c r="M863">
        <v>0</v>
      </c>
      <c r="N863">
        <v>1</v>
      </c>
    </row>
    <row r="864" spans="1:16" x14ac:dyDescent="0.25">
      <c r="A864" t="str">
        <f>"860"</f>
        <v>860</v>
      </c>
      <c r="B864" t="str">
        <f t="shared" si="47"/>
        <v>102</v>
      </c>
      <c r="C864" t="str">
        <f t="shared" si="48"/>
        <v>35</v>
      </c>
      <c r="D864" t="str">
        <f>"22"</f>
        <v>22</v>
      </c>
      <c r="E864" t="str">
        <f>"102-35-22"</f>
        <v>102-35-22</v>
      </c>
      <c r="F864" t="s">
        <v>18</v>
      </c>
      <c r="G864" t="s">
        <v>20</v>
      </c>
      <c r="H864">
        <v>1</v>
      </c>
      <c r="K864">
        <v>0</v>
      </c>
      <c r="L864">
        <v>1</v>
      </c>
      <c r="M864">
        <v>0</v>
      </c>
      <c r="N864">
        <v>1</v>
      </c>
    </row>
    <row r="865" spans="1:16" x14ac:dyDescent="0.25">
      <c r="A865" t="str">
        <f>"861"</f>
        <v>861</v>
      </c>
      <c r="B865" t="str">
        <f t="shared" si="47"/>
        <v>102</v>
      </c>
      <c r="C865" t="str">
        <f t="shared" si="48"/>
        <v>35</v>
      </c>
      <c r="D865" t="str">
        <f>"14"</f>
        <v>14</v>
      </c>
      <c r="E865" t="str">
        <f>"102-35-14"</f>
        <v>102-35-14</v>
      </c>
      <c r="F865" t="s">
        <v>18</v>
      </c>
      <c r="G865" t="s">
        <v>20</v>
      </c>
      <c r="H865">
        <v>1</v>
      </c>
      <c r="K865">
        <v>0</v>
      </c>
      <c r="L865">
        <v>1</v>
      </c>
      <c r="M865">
        <v>0</v>
      </c>
      <c r="N865">
        <v>1</v>
      </c>
    </row>
    <row r="866" spans="1:16" x14ac:dyDescent="0.25">
      <c r="A866" t="str">
        <f>"862"</f>
        <v>862</v>
      </c>
      <c r="B866" t="str">
        <f t="shared" si="47"/>
        <v>102</v>
      </c>
      <c r="C866" t="str">
        <f t="shared" si="48"/>
        <v>35</v>
      </c>
      <c r="D866" t="str">
        <f>"5"</f>
        <v>5</v>
      </c>
      <c r="E866" t="str">
        <f>"102-35-5"</f>
        <v>102-35-5</v>
      </c>
      <c r="F866" t="s">
        <v>18</v>
      </c>
      <c r="G866" t="s">
        <v>20</v>
      </c>
      <c r="H866">
        <v>1</v>
      </c>
      <c r="K866">
        <v>0</v>
      </c>
      <c r="L866">
        <v>1</v>
      </c>
      <c r="M866">
        <v>0</v>
      </c>
      <c r="N866">
        <v>1</v>
      </c>
    </row>
    <row r="867" spans="1:16" x14ac:dyDescent="0.25">
      <c r="A867" t="str">
        <f>"863"</f>
        <v>863</v>
      </c>
      <c r="B867" t="str">
        <f t="shared" si="47"/>
        <v>102</v>
      </c>
      <c r="C867" t="str">
        <f t="shared" si="48"/>
        <v>35</v>
      </c>
      <c r="D867" t="str">
        <f>"15"</f>
        <v>15</v>
      </c>
      <c r="E867" t="str">
        <f>"102-35-15"</f>
        <v>102-35-15</v>
      </c>
      <c r="F867" t="s">
        <v>18</v>
      </c>
      <c r="G867" t="s">
        <v>20</v>
      </c>
      <c r="H867">
        <v>1</v>
      </c>
      <c r="K867">
        <v>0</v>
      </c>
      <c r="L867">
        <v>1</v>
      </c>
      <c r="M867">
        <v>0</v>
      </c>
      <c r="N867">
        <v>1</v>
      </c>
    </row>
    <row r="868" spans="1:16" x14ac:dyDescent="0.25">
      <c r="A868" t="str">
        <f>"864"</f>
        <v>864</v>
      </c>
      <c r="B868" t="str">
        <f t="shared" si="47"/>
        <v>102</v>
      </c>
      <c r="C868" t="str">
        <f t="shared" si="48"/>
        <v>35</v>
      </c>
      <c r="D868" t="str">
        <f>"3"</f>
        <v>3</v>
      </c>
      <c r="E868" t="str">
        <f>"102-35-3"</f>
        <v>102-35-3</v>
      </c>
      <c r="F868" t="s">
        <v>18</v>
      </c>
      <c r="G868" t="s">
        <v>20</v>
      </c>
      <c r="H868">
        <v>1</v>
      </c>
      <c r="K868">
        <v>0</v>
      </c>
      <c r="L868">
        <v>1</v>
      </c>
      <c r="M868">
        <v>0</v>
      </c>
      <c r="N868">
        <v>1</v>
      </c>
    </row>
    <row r="869" spans="1:16" x14ac:dyDescent="0.25">
      <c r="A869" t="str">
        <f>"865"</f>
        <v>865</v>
      </c>
      <c r="B869" t="str">
        <f t="shared" si="47"/>
        <v>102</v>
      </c>
      <c r="C869" t="str">
        <f t="shared" si="48"/>
        <v>35</v>
      </c>
      <c r="D869" t="str">
        <f>"25"</f>
        <v>25</v>
      </c>
      <c r="E869" t="str">
        <f>"102-35-25"</f>
        <v>102-35-25</v>
      </c>
      <c r="F869" t="s">
        <v>18</v>
      </c>
      <c r="G869" t="s">
        <v>19</v>
      </c>
      <c r="H869">
        <v>2</v>
      </c>
      <c r="I869">
        <v>1</v>
      </c>
      <c r="J869">
        <v>1</v>
      </c>
      <c r="K869">
        <v>1</v>
      </c>
      <c r="L869">
        <v>0</v>
      </c>
      <c r="M869">
        <v>0</v>
      </c>
      <c r="N869">
        <v>1</v>
      </c>
      <c r="O869">
        <v>1</v>
      </c>
      <c r="P869">
        <v>0</v>
      </c>
    </row>
    <row r="870" spans="1:16" x14ac:dyDescent="0.25">
      <c r="A870" t="str">
        <f>"866"</f>
        <v>866</v>
      </c>
      <c r="B870" t="str">
        <f t="shared" si="47"/>
        <v>102</v>
      </c>
      <c r="C870" t="str">
        <f t="shared" si="48"/>
        <v>35</v>
      </c>
      <c r="D870" t="str">
        <f>"16"</f>
        <v>16</v>
      </c>
      <c r="E870" t="str">
        <f>"102-35-16"</f>
        <v>102-35-16</v>
      </c>
      <c r="F870" t="s">
        <v>18</v>
      </c>
      <c r="G870" t="s">
        <v>20</v>
      </c>
      <c r="H870">
        <v>1</v>
      </c>
      <c r="K870">
        <v>0</v>
      </c>
      <c r="L870">
        <v>1</v>
      </c>
      <c r="M870">
        <v>0</v>
      </c>
      <c r="N870">
        <v>1</v>
      </c>
    </row>
    <row r="871" spans="1:16" x14ac:dyDescent="0.25">
      <c r="A871" t="str">
        <f>"867"</f>
        <v>867</v>
      </c>
      <c r="B871" t="str">
        <f t="shared" si="47"/>
        <v>102</v>
      </c>
      <c r="C871" t="str">
        <f t="shared" si="48"/>
        <v>35</v>
      </c>
      <c r="D871" t="str">
        <f>"10"</f>
        <v>10</v>
      </c>
      <c r="E871" t="str">
        <f>"102-35-10"</f>
        <v>102-35-10</v>
      </c>
      <c r="F871" t="s">
        <v>18</v>
      </c>
      <c r="G871" t="s">
        <v>20</v>
      </c>
      <c r="H871">
        <v>1</v>
      </c>
      <c r="K871">
        <v>1</v>
      </c>
      <c r="L871">
        <v>0</v>
      </c>
      <c r="M871">
        <v>1</v>
      </c>
      <c r="N871">
        <v>0</v>
      </c>
    </row>
    <row r="872" spans="1:16" x14ac:dyDescent="0.25">
      <c r="A872" t="str">
        <f>"868"</f>
        <v>868</v>
      </c>
      <c r="B872" t="str">
        <f t="shared" si="47"/>
        <v>102</v>
      </c>
      <c r="C872" t="str">
        <f t="shared" si="48"/>
        <v>35</v>
      </c>
      <c r="D872" t="str">
        <f>"17"</f>
        <v>17</v>
      </c>
      <c r="E872" t="str">
        <f>"102-35-17"</f>
        <v>102-35-17</v>
      </c>
      <c r="F872" t="s">
        <v>18</v>
      </c>
      <c r="G872" t="s">
        <v>20</v>
      </c>
      <c r="H872">
        <v>1</v>
      </c>
      <c r="K872">
        <v>1</v>
      </c>
      <c r="L872">
        <v>0</v>
      </c>
      <c r="M872">
        <v>1</v>
      </c>
      <c r="N872">
        <v>0</v>
      </c>
    </row>
    <row r="873" spans="1:16" x14ac:dyDescent="0.25">
      <c r="A873" t="str">
        <f>"869"</f>
        <v>869</v>
      </c>
      <c r="B873" t="str">
        <f t="shared" si="47"/>
        <v>102</v>
      </c>
      <c r="C873" t="str">
        <f t="shared" si="48"/>
        <v>35</v>
      </c>
      <c r="D873" t="str">
        <f>"9"</f>
        <v>9</v>
      </c>
      <c r="E873" t="str">
        <f>"102-35-9"</f>
        <v>102-35-9</v>
      </c>
      <c r="F873" t="s">
        <v>18</v>
      </c>
      <c r="G873" t="s">
        <v>19</v>
      </c>
      <c r="H873">
        <v>2</v>
      </c>
      <c r="I873">
        <v>1</v>
      </c>
      <c r="J873">
        <v>0</v>
      </c>
      <c r="K873">
        <v>0</v>
      </c>
      <c r="L873">
        <v>1</v>
      </c>
      <c r="M873">
        <v>0</v>
      </c>
      <c r="N873">
        <v>1</v>
      </c>
      <c r="O873">
        <v>0</v>
      </c>
      <c r="P873">
        <v>1</v>
      </c>
    </row>
    <row r="874" spans="1:16" x14ac:dyDescent="0.25">
      <c r="A874" t="str">
        <f>"870"</f>
        <v>870</v>
      </c>
      <c r="B874" t="str">
        <f t="shared" si="47"/>
        <v>102</v>
      </c>
      <c r="C874" t="str">
        <f t="shared" si="48"/>
        <v>35</v>
      </c>
      <c r="D874" t="str">
        <f>"19"</f>
        <v>19</v>
      </c>
      <c r="E874" t="str">
        <f>"102-35-19"</f>
        <v>102-35-19</v>
      </c>
      <c r="F874" t="s">
        <v>18</v>
      </c>
      <c r="G874" t="s">
        <v>20</v>
      </c>
      <c r="H874">
        <v>1</v>
      </c>
      <c r="K874">
        <v>1</v>
      </c>
      <c r="L874">
        <v>0</v>
      </c>
      <c r="M874">
        <v>1</v>
      </c>
      <c r="N874">
        <v>0</v>
      </c>
    </row>
    <row r="875" spans="1:16" x14ac:dyDescent="0.25">
      <c r="A875" t="str">
        <f>"871"</f>
        <v>871</v>
      </c>
      <c r="B875" t="str">
        <f t="shared" si="47"/>
        <v>102</v>
      </c>
      <c r="C875" t="str">
        <f t="shared" si="48"/>
        <v>35</v>
      </c>
      <c r="D875" t="str">
        <f>"7"</f>
        <v>7</v>
      </c>
      <c r="E875" t="str">
        <f>"102-35-7"</f>
        <v>102-35-7</v>
      </c>
      <c r="F875" t="s">
        <v>18</v>
      </c>
      <c r="G875" t="s">
        <v>19</v>
      </c>
      <c r="H875">
        <v>2</v>
      </c>
      <c r="I875">
        <v>1</v>
      </c>
      <c r="J875">
        <v>1</v>
      </c>
      <c r="K875">
        <v>0</v>
      </c>
      <c r="L875">
        <v>1</v>
      </c>
      <c r="M875">
        <v>0</v>
      </c>
      <c r="N875">
        <v>1</v>
      </c>
      <c r="O875">
        <v>1</v>
      </c>
      <c r="P875">
        <v>0</v>
      </c>
    </row>
    <row r="876" spans="1:16" x14ac:dyDescent="0.25">
      <c r="A876" t="str">
        <f>"872"</f>
        <v>872</v>
      </c>
      <c r="B876" t="str">
        <f t="shared" si="47"/>
        <v>102</v>
      </c>
      <c r="C876" t="str">
        <f t="shared" si="48"/>
        <v>35</v>
      </c>
      <c r="D876" t="str">
        <f>"20"</f>
        <v>20</v>
      </c>
      <c r="E876" t="str">
        <f>"102-35-20"</f>
        <v>102-35-20</v>
      </c>
      <c r="F876" t="s">
        <v>18</v>
      </c>
      <c r="G876" t="s">
        <v>20</v>
      </c>
      <c r="H876">
        <v>1</v>
      </c>
      <c r="K876">
        <v>0</v>
      </c>
      <c r="L876">
        <v>1</v>
      </c>
      <c r="M876">
        <v>0</v>
      </c>
      <c r="N876">
        <v>1</v>
      </c>
    </row>
    <row r="877" spans="1:16" x14ac:dyDescent="0.25">
      <c r="A877" t="str">
        <f>"873"</f>
        <v>873</v>
      </c>
      <c r="B877" t="str">
        <f t="shared" si="47"/>
        <v>102</v>
      </c>
      <c r="C877" t="str">
        <f t="shared" si="48"/>
        <v>35</v>
      </c>
      <c r="D877" t="str">
        <f>"8"</f>
        <v>8</v>
      </c>
      <c r="E877" t="str">
        <f>"102-35-8"</f>
        <v>102-35-8</v>
      </c>
      <c r="F877" t="s">
        <v>18</v>
      </c>
      <c r="G877" t="s">
        <v>19</v>
      </c>
      <c r="H877">
        <v>2</v>
      </c>
      <c r="I877">
        <v>0</v>
      </c>
      <c r="J877">
        <v>1</v>
      </c>
      <c r="K877">
        <v>0</v>
      </c>
      <c r="L877">
        <v>1</v>
      </c>
      <c r="M877">
        <v>0</v>
      </c>
      <c r="N877">
        <v>1</v>
      </c>
      <c r="O877">
        <v>0</v>
      </c>
      <c r="P877">
        <v>1</v>
      </c>
    </row>
    <row r="878" spans="1:16" x14ac:dyDescent="0.25">
      <c r="A878" t="str">
        <f>"874"</f>
        <v>874</v>
      </c>
      <c r="B878" t="str">
        <f t="shared" si="47"/>
        <v>102</v>
      </c>
      <c r="C878" t="str">
        <f t="shared" si="48"/>
        <v>35</v>
      </c>
      <c r="D878" t="str">
        <f>"21"</f>
        <v>21</v>
      </c>
      <c r="E878" t="str">
        <f>"102-35-21"</f>
        <v>102-35-21</v>
      </c>
      <c r="F878" t="s">
        <v>18</v>
      </c>
      <c r="G878" t="s">
        <v>20</v>
      </c>
      <c r="H878">
        <v>1</v>
      </c>
      <c r="K878">
        <v>1</v>
      </c>
      <c r="L878">
        <v>0</v>
      </c>
      <c r="M878">
        <v>1</v>
      </c>
      <c r="N878">
        <v>0</v>
      </c>
    </row>
    <row r="879" spans="1:16" x14ac:dyDescent="0.25">
      <c r="A879" t="str">
        <f>"875"</f>
        <v>875</v>
      </c>
      <c r="B879" t="str">
        <f t="shared" si="47"/>
        <v>102</v>
      </c>
      <c r="C879" t="str">
        <f t="shared" si="48"/>
        <v>35</v>
      </c>
      <c r="D879" t="str">
        <f>"6"</f>
        <v>6</v>
      </c>
      <c r="E879" t="str">
        <f>"102-35-6"</f>
        <v>102-35-6</v>
      </c>
      <c r="F879" t="s">
        <v>18</v>
      </c>
      <c r="G879" t="s">
        <v>19</v>
      </c>
      <c r="H879">
        <v>2</v>
      </c>
      <c r="I879">
        <v>0</v>
      </c>
      <c r="J879">
        <v>1</v>
      </c>
      <c r="K879">
        <v>0</v>
      </c>
      <c r="L879">
        <v>1</v>
      </c>
      <c r="M879">
        <v>0</v>
      </c>
      <c r="N879">
        <v>1</v>
      </c>
      <c r="O879">
        <v>0</v>
      </c>
      <c r="P879">
        <v>1</v>
      </c>
    </row>
    <row r="880" spans="1:16" x14ac:dyDescent="0.25">
      <c r="A880" t="str">
        <f>"876"</f>
        <v>876</v>
      </c>
      <c r="B880" t="str">
        <f t="shared" si="47"/>
        <v>102</v>
      </c>
      <c r="C880" t="str">
        <f t="shared" ref="C880:C904" si="49">"36"</f>
        <v>36</v>
      </c>
      <c r="D880" t="str">
        <f>"21"</f>
        <v>21</v>
      </c>
      <c r="E880" t="str">
        <f>"102-36-21"</f>
        <v>102-36-21</v>
      </c>
      <c r="F880" t="s">
        <v>18</v>
      </c>
      <c r="G880" t="s">
        <v>19</v>
      </c>
      <c r="H880">
        <v>2</v>
      </c>
      <c r="I880">
        <v>0</v>
      </c>
      <c r="J880">
        <v>0</v>
      </c>
      <c r="K880">
        <v>0</v>
      </c>
      <c r="L880">
        <v>1</v>
      </c>
      <c r="M880">
        <v>0</v>
      </c>
      <c r="N880">
        <v>1</v>
      </c>
      <c r="O880">
        <v>0</v>
      </c>
      <c r="P880">
        <v>1</v>
      </c>
    </row>
    <row r="881" spans="1:16" x14ac:dyDescent="0.25">
      <c r="A881" t="str">
        <f>"877"</f>
        <v>877</v>
      </c>
      <c r="B881" t="str">
        <f t="shared" si="47"/>
        <v>102</v>
      </c>
      <c r="C881" t="str">
        <f t="shared" si="49"/>
        <v>36</v>
      </c>
      <c r="D881" t="str">
        <f>"11"</f>
        <v>11</v>
      </c>
      <c r="E881" t="str">
        <f>"102-36-11"</f>
        <v>102-36-11</v>
      </c>
      <c r="F881" t="s">
        <v>18</v>
      </c>
      <c r="G881" t="s">
        <v>19</v>
      </c>
      <c r="H881">
        <v>2</v>
      </c>
      <c r="I881">
        <v>0</v>
      </c>
      <c r="J881">
        <v>1</v>
      </c>
      <c r="K881">
        <v>0</v>
      </c>
      <c r="L881">
        <v>1</v>
      </c>
      <c r="M881">
        <v>0</v>
      </c>
      <c r="N881">
        <v>1</v>
      </c>
      <c r="O881">
        <v>1</v>
      </c>
      <c r="P881">
        <v>0</v>
      </c>
    </row>
    <row r="882" spans="1:16" x14ac:dyDescent="0.25">
      <c r="A882" t="str">
        <f>"878"</f>
        <v>878</v>
      </c>
      <c r="B882" t="str">
        <f t="shared" si="47"/>
        <v>102</v>
      </c>
      <c r="C882" t="str">
        <f t="shared" si="49"/>
        <v>36</v>
      </c>
      <c r="D882" t="str">
        <f>"1"</f>
        <v>1</v>
      </c>
      <c r="E882" t="str">
        <f>"102-36-1"</f>
        <v>102-36-1</v>
      </c>
      <c r="F882" t="s">
        <v>18</v>
      </c>
      <c r="G882" t="s">
        <v>19</v>
      </c>
      <c r="H882">
        <v>2</v>
      </c>
      <c r="I882">
        <v>0</v>
      </c>
      <c r="J882">
        <v>1</v>
      </c>
      <c r="K882">
        <v>1</v>
      </c>
      <c r="L882">
        <v>0</v>
      </c>
      <c r="M882">
        <v>1</v>
      </c>
      <c r="N882">
        <v>0</v>
      </c>
      <c r="O882">
        <v>1</v>
      </c>
      <c r="P882">
        <v>0</v>
      </c>
    </row>
    <row r="883" spans="1:16" x14ac:dyDescent="0.25">
      <c r="A883" t="str">
        <f>"879"</f>
        <v>879</v>
      </c>
      <c r="B883" t="str">
        <f t="shared" si="47"/>
        <v>102</v>
      </c>
      <c r="C883" t="str">
        <f t="shared" si="49"/>
        <v>36</v>
      </c>
      <c r="D883" t="str">
        <f>"24"</f>
        <v>24</v>
      </c>
      <c r="E883" t="str">
        <f>"102-36-24"</f>
        <v>102-36-24</v>
      </c>
      <c r="F883" t="s">
        <v>18</v>
      </c>
      <c r="G883" t="s">
        <v>19</v>
      </c>
      <c r="H883">
        <v>2</v>
      </c>
      <c r="I883">
        <v>1</v>
      </c>
      <c r="J883">
        <v>1</v>
      </c>
      <c r="K883">
        <v>1</v>
      </c>
      <c r="L883">
        <v>0</v>
      </c>
      <c r="M883">
        <v>1</v>
      </c>
      <c r="N883">
        <v>0</v>
      </c>
      <c r="O883">
        <v>1</v>
      </c>
      <c r="P883">
        <v>0</v>
      </c>
    </row>
    <row r="884" spans="1:16" x14ac:dyDescent="0.25">
      <c r="A884" t="str">
        <f>"880"</f>
        <v>880</v>
      </c>
      <c r="B884" t="str">
        <f t="shared" si="47"/>
        <v>102</v>
      </c>
      <c r="C884" t="str">
        <f t="shared" si="49"/>
        <v>36</v>
      </c>
      <c r="D884" t="str">
        <f>"12"</f>
        <v>12</v>
      </c>
      <c r="E884" t="str">
        <f>"102-36-12"</f>
        <v>102-36-12</v>
      </c>
      <c r="F884" t="s">
        <v>18</v>
      </c>
      <c r="G884" t="s">
        <v>19</v>
      </c>
      <c r="H884">
        <v>2</v>
      </c>
      <c r="I884">
        <v>0</v>
      </c>
      <c r="J884">
        <v>1</v>
      </c>
      <c r="K884">
        <v>1</v>
      </c>
      <c r="L884">
        <v>0</v>
      </c>
      <c r="M884">
        <v>1</v>
      </c>
      <c r="N884">
        <v>0</v>
      </c>
      <c r="O884">
        <v>1</v>
      </c>
      <c r="P884">
        <v>0</v>
      </c>
    </row>
    <row r="885" spans="1:16" x14ac:dyDescent="0.25">
      <c r="A885" t="str">
        <f>"881"</f>
        <v>881</v>
      </c>
      <c r="B885" t="str">
        <f t="shared" si="47"/>
        <v>102</v>
      </c>
      <c r="C885" t="str">
        <f t="shared" si="49"/>
        <v>36</v>
      </c>
      <c r="D885" t="str">
        <f>"2"</f>
        <v>2</v>
      </c>
      <c r="E885" t="str">
        <f>"102-36-2"</f>
        <v>102-36-2</v>
      </c>
      <c r="F885" t="s">
        <v>18</v>
      </c>
      <c r="G885" t="s">
        <v>19</v>
      </c>
      <c r="H885">
        <v>2</v>
      </c>
      <c r="I885">
        <v>1</v>
      </c>
      <c r="J885">
        <v>1</v>
      </c>
      <c r="K885">
        <v>0</v>
      </c>
      <c r="L885">
        <v>1</v>
      </c>
      <c r="M885">
        <v>0</v>
      </c>
      <c r="N885">
        <v>1</v>
      </c>
      <c r="O885">
        <v>0</v>
      </c>
      <c r="P885">
        <v>1</v>
      </c>
    </row>
    <row r="886" spans="1:16" x14ac:dyDescent="0.25">
      <c r="A886" t="str">
        <f>"882"</f>
        <v>882</v>
      </c>
      <c r="B886" t="str">
        <f t="shared" si="47"/>
        <v>102</v>
      </c>
      <c r="C886" t="str">
        <f t="shared" si="49"/>
        <v>36</v>
      </c>
      <c r="D886" t="str">
        <f>"22"</f>
        <v>22</v>
      </c>
      <c r="E886" t="str">
        <f>"102-36-22"</f>
        <v>102-36-22</v>
      </c>
      <c r="F886" t="s">
        <v>18</v>
      </c>
      <c r="G886" t="s">
        <v>19</v>
      </c>
      <c r="H886">
        <v>2</v>
      </c>
      <c r="I886">
        <v>1</v>
      </c>
      <c r="J886">
        <v>1</v>
      </c>
      <c r="K886">
        <v>1</v>
      </c>
      <c r="L886">
        <v>0</v>
      </c>
      <c r="M886">
        <v>1</v>
      </c>
      <c r="N886">
        <v>0</v>
      </c>
      <c r="O886">
        <v>1</v>
      </c>
      <c r="P886">
        <v>0</v>
      </c>
    </row>
    <row r="887" spans="1:16" x14ac:dyDescent="0.25">
      <c r="A887" t="str">
        <f>"883"</f>
        <v>883</v>
      </c>
      <c r="B887" t="str">
        <f t="shared" si="47"/>
        <v>102</v>
      </c>
      <c r="C887" t="str">
        <f t="shared" si="49"/>
        <v>36</v>
      </c>
      <c r="D887" t="str">
        <f>"13"</f>
        <v>13</v>
      </c>
      <c r="E887" t="str">
        <f>"102-36-13"</f>
        <v>102-36-13</v>
      </c>
      <c r="F887" t="s">
        <v>18</v>
      </c>
      <c r="G887" t="s">
        <v>19</v>
      </c>
      <c r="H887">
        <v>2</v>
      </c>
      <c r="I887">
        <v>0</v>
      </c>
      <c r="J887">
        <v>1</v>
      </c>
      <c r="K887">
        <v>0</v>
      </c>
      <c r="L887">
        <v>1</v>
      </c>
      <c r="M887">
        <v>0</v>
      </c>
      <c r="N887">
        <v>1</v>
      </c>
      <c r="O887">
        <v>0</v>
      </c>
      <c r="P887">
        <v>1</v>
      </c>
    </row>
    <row r="888" spans="1:16" x14ac:dyDescent="0.25">
      <c r="A888" t="str">
        <f>"884"</f>
        <v>884</v>
      </c>
      <c r="B888" t="str">
        <f t="shared" si="47"/>
        <v>102</v>
      </c>
      <c r="C888" t="str">
        <f t="shared" si="49"/>
        <v>36</v>
      </c>
      <c r="D888" t="str">
        <f>"8"</f>
        <v>8</v>
      </c>
      <c r="E888" t="str">
        <f>"102-36-8"</f>
        <v>102-36-8</v>
      </c>
      <c r="F888" t="s">
        <v>18</v>
      </c>
      <c r="G888" t="s">
        <v>19</v>
      </c>
      <c r="H888">
        <v>2</v>
      </c>
      <c r="I888">
        <v>1</v>
      </c>
      <c r="J888">
        <v>1</v>
      </c>
      <c r="K888">
        <v>1</v>
      </c>
      <c r="L888">
        <v>0</v>
      </c>
      <c r="M888">
        <v>0</v>
      </c>
      <c r="N888">
        <v>0</v>
      </c>
      <c r="O888">
        <v>1</v>
      </c>
      <c r="P888">
        <v>0</v>
      </c>
    </row>
    <row r="889" spans="1:16" x14ac:dyDescent="0.25">
      <c r="A889" t="str">
        <f>"885"</f>
        <v>885</v>
      </c>
      <c r="B889" t="str">
        <f t="shared" si="47"/>
        <v>102</v>
      </c>
      <c r="C889" t="str">
        <f t="shared" si="49"/>
        <v>36</v>
      </c>
      <c r="D889" t="str">
        <f>"25"</f>
        <v>25</v>
      </c>
      <c r="E889" t="str">
        <f>"102-36-25"</f>
        <v>102-36-25</v>
      </c>
      <c r="F889" t="s">
        <v>18</v>
      </c>
      <c r="G889" t="s">
        <v>19</v>
      </c>
      <c r="H889">
        <v>2</v>
      </c>
      <c r="I889">
        <v>0</v>
      </c>
      <c r="J889">
        <v>1</v>
      </c>
      <c r="K889">
        <v>1</v>
      </c>
      <c r="L889">
        <v>0</v>
      </c>
      <c r="M889">
        <v>1</v>
      </c>
      <c r="N889">
        <v>0</v>
      </c>
      <c r="O889">
        <v>1</v>
      </c>
      <c r="P889">
        <v>0</v>
      </c>
    </row>
    <row r="890" spans="1:16" x14ac:dyDescent="0.25">
      <c r="A890" t="str">
        <f>"886"</f>
        <v>886</v>
      </c>
      <c r="B890" t="str">
        <f t="shared" si="47"/>
        <v>102</v>
      </c>
      <c r="C890" t="str">
        <f t="shared" si="49"/>
        <v>36</v>
      </c>
      <c r="D890" t="str">
        <f>"14"</f>
        <v>14</v>
      </c>
      <c r="E890" t="str">
        <f>"102-36-14"</f>
        <v>102-36-14</v>
      </c>
      <c r="F890" t="s">
        <v>18</v>
      </c>
      <c r="G890" t="s">
        <v>19</v>
      </c>
      <c r="H890">
        <v>2</v>
      </c>
      <c r="I890">
        <v>1</v>
      </c>
      <c r="J890">
        <v>1</v>
      </c>
      <c r="K890">
        <v>0</v>
      </c>
      <c r="L890">
        <v>1</v>
      </c>
      <c r="M890">
        <v>0</v>
      </c>
      <c r="N890">
        <v>1</v>
      </c>
      <c r="O890">
        <v>1</v>
      </c>
      <c r="P890">
        <v>0</v>
      </c>
    </row>
    <row r="891" spans="1:16" x14ac:dyDescent="0.25">
      <c r="A891" t="str">
        <f>"887"</f>
        <v>887</v>
      </c>
      <c r="B891" t="str">
        <f t="shared" si="47"/>
        <v>102</v>
      </c>
      <c r="C891" t="str">
        <f t="shared" si="49"/>
        <v>36</v>
      </c>
      <c r="D891" t="str">
        <f>"3"</f>
        <v>3</v>
      </c>
      <c r="E891" t="str">
        <f>"102-36-3"</f>
        <v>102-36-3</v>
      </c>
      <c r="F891" t="s">
        <v>18</v>
      </c>
      <c r="G891" t="s">
        <v>19</v>
      </c>
      <c r="H891">
        <v>2</v>
      </c>
      <c r="I891">
        <v>1</v>
      </c>
      <c r="J891">
        <v>1</v>
      </c>
      <c r="K891">
        <v>0</v>
      </c>
      <c r="L891">
        <v>1</v>
      </c>
      <c r="M891">
        <v>0</v>
      </c>
      <c r="N891">
        <v>1</v>
      </c>
      <c r="O891">
        <v>1</v>
      </c>
      <c r="P891">
        <v>0</v>
      </c>
    </row>
    <row r="892" spans="1:16" x14ac:dyDescent="0.25">
      <c r="A892" t="str">
        <f>"888"</f>
        <v>888</v>
      </c>
      <c r="B892" t="str">
        <f t="shared" si="47"/>
        <v>102</v>
      </c>
      <c r="C892" t="str">
        <f t="shared" si="49"/>
        <v>36</v>
      </c>
      <c r="D892" t="str">
        <f>"23"</f>
        <v>23</v>
      </c>
      <c r="E892" t="str">
        <f>"102-36-23"</f>
        <v>102-36-23</v>
      </c>
      <c r="F892" t="s">
        <v>18</v>
      </c>
      <c r="G892" t="s">
        <v>19</v>
      </c>
      <c r="H892">
        <v>2</v>
      </c>
      <c r="I892">
        <v>1</v>
      </c>
      <c r="J892">
        <v>1</v>
      </c>
      <c r="K892">
        <v>1</v>
      </c>
      <c r="L892">
        <v>0</v>
      </c>
      <c r="M892">
        <v>1</v>
      </c>
      <c r="N892">
        <v>0</v>
      </c>
      <c r="O892">
        <v>1</v>
      </c>
      <c r="P892">
        <v>0</v>
      </c>
    </row>
    <row r="893" spans="1:16" x14ac:dyDescent="0.25">
      <c r="A893" t="str">
        <f>"889"</f>
        <v>889</v>
      </c>
      <c r="B893" t="str">
        <f t="shared" si="47"/>
        <v>102</v>
      </c>
      <c r="C893" t="str">
        <f t="shared" si="49"/>
        <v>36</v>
      </c>
      <c r="D893" t="str">
        <f>"15"</f>
        <v>15</v>
      </c>
      <c r="E893" t="str">
        <f>"102-36-15"</f>
        <v>102-36-15</v>
      </c>
      <c r="F893" t="s">
        <v>18</v>
      </c>
      <c r="G893" t="s">
        <v>19</v>
      </c>
      <c r="H893">
        <v>2</v>
      </c>
      <c r="I893">
        <v>0</v>
      </c>
      <c r="J893">
        <v>1</v>
      </c>
      <c r="K893">
        <v>1</v>
      </c>
      <c r="L893">
        <v>0</v>
      </c>
      <c r="M893">
        <v>1</v>
      </c>
      <c r="N893">
        <v>0</v>
      </c>
      <c r="O893">
        <v>1</v>
      </c>
      <c r="P893">
        <v>0</v>
      </c>
    </row>
    <row r="894" spans="1:16" x14ac:dyDescent="0.25">
      <c r="A894" t="str">
        <f>"890"</f>
        <v>890</v>
      </c>
      <c r="B894" t="str">
        <f t="shared" si="47"/>
        <v>102</v>
      </c>
      <c r="C894" t="str">
        <f t="shared" si="49"/>
        <v>36</v>
      </c>
      <c r="D894" t="str">
        <f>"10"</f>
        <v>10</v>
      </c>
      <c r="E894" t="str">
        <f>"102-36-10"</f>
        <v>102-36-10</v>
      </c>
      <c r="F894" t="s">
        <v>18</v>
      </c>
      <c r="G894" t="s">
        <v>19</v>
      </c>
      <c r="H894">
        <v>2</v>
      </c>
      <c r="I894">
        <v>1</v>
      </c>
      <c r="J894">
        <v>1</v>
      </c>
      <c r="K894">
        <v>1</v>
      </c>
      <c r="L894">
        <v>0</v>
      </c>
      <c r="M894">
        <v>0</v>
      </c>
      <c r="N894">
        <v>0</v>
      </c>
      <c r="O894">
        <v>1</v>
      </c>
      <c r="P894">
        <v>0</v>
      </c>
    </row>
    <row r="895" spans="1:16" x14ac:dyDescent="0.25">
      <c r="A895" t="str">
        <f>"891"</f>
        <v>891</v>
      </c>
      <c r="B895" t="str">
        <f t="shared" si="47"/>
        <v>102</v>
      </c>
      <c r="C895" t="str">
        <f t="shared" si="49"/>
        <v>36</v>
      </c>
      <c r="D895" t="str">
        <f>"16"</f>
        <v>16</v>
      </c>
      <c r="E895" t="str">
        <f>"102-36-16"</f>
        <v>102-36-16</v>
      </c>
      <c r="F895" t="s">
        <v>18</v>
      </c>
      <c r="G895" t="s">
        <v>19</v>
      </c>
      <c r="H895">
        <v>2</v>
      </c>
      <c r="I895">
        <v>0</v>
      </c>
      <c r="J895">
        <v>0</v>
      </c>
      <c r="K895">
        <v>0</v>
      </c>
      <c r="L895">
        <v>1</v>
      </c>
      <c r="M895">
        <v>0</v>
      </c>
      <c r="N895">
        <v>1</v>
      </c>
      <c r="O895">
        <v>0</v>
      </c>
      <c r="P895">
        <v>1</v>
      </c>
    </row>
    <row r="896" spans="1:16" x14ac:dyDescent="0.25">
      <c r="A896" t="str">
        <f>"892"</f>
        <v>892</v>
      </c>
      <c r="B896" t="str">
        <f t="shared" si="47"/>
        <v>102</v>
      </c>
      <c r="C896" t="str">
        <f t="shared" si="49"/>
        <v>36</v>
      </c>
      <c r="D896" t="str">
        <f>"6"</f>
        <v>6</v>
      </c>
      <c r="E896" t="str">
        <f>"102-36-6"</f>
        <v>102-36-6</v>
      </c>
      <c r="F896" t="s">
        <v>18</v>
      </c>
      <c r="G896" t="s">
        <v>19</v>
      </c>
      <c r="H896">
        <v>2</v>
      </c>
      <c r="I896">
        <v>1</v>
      </c>
      <c r="J896">
        <v>1</v>
      </c>
      <c r="K896">
        <v>1</v>
      </c>
      <c r="L896">
        <v>0</v>
      </c>
      <c r="M896">
        <v>1</v>
      </c>
      <c r="N896">
        <v>0</v>
      </c>
      <c r="O896">
        <v>1</v>
      </c>
      <c r="P896">
        <v>0</v>
      </c>
    </row>
    <row r="897" spans="1:16" x14ac:dyDescent="0.25">
      <c r="A897" t="str">
        <f>"893"</f>
        <v>893</v>
      </c>
      <c r="B897" t="str">
        <f t="shared" si="47"/>
        <v>102</v>
      </c>
      <c r="C897" t="str">
        <f t="shared" si="49"/>
        <v>36</v>
      </c>
      <c r="D897" t="str">
        <f>"17"</f>
        <v>17</v>
      </c>
      <c r="E897" t="str">
        <f>"102-36-17"</f>
        <v>102-36-17</v>
      </c>
      <c r="F897" t="s">
        <v>18</v>
      </c>
      <c r="G897" t="s">
        <v>19</v>
      </c>
      <c r="H897">
        <v>2</v>
      </c>
      <c r="I897">
        <v>1</v>
      </c>
      <c r="J897">
        <v>1</v>
      </c>
      <c r="K897">
        <v>1</v>
      </c>
      <c r="L897">
        <v>0</v>
      </c>
      <c r="M897">
        <v>1</v>
      </c>
      <c r="N897">
        <v>0</v>
      </c>
      <c r="O897">
        <v>1</v>
      </c>
      <c r="P897">
        <v>0</v>
      </c>
    </row>
    <row r="898" spans="1:16" x14ac:dyDescent="0.25">
      <c r="A898" t="str">
        <f>"894"</f>
        <v>894</v>
      </c>
      <c r="B898" t="str">
        <f t="shared" si="47"/>
        <v>102</v>
      </c>
      <c r="C898" t="str">
        <f t="shared" si="49"/>
        <v>36</v>
      </c>
      <c r="D898" t="str">
        <f>"18"</f>
        <v>18</v>
      </c>
      <c r="E898" t="str">
        <f>"102-36-18"</f>
        <v>102-36-18</v>
      </c>
      <c r="F898" t="s">
        <v>18</v>
      </c>
      <c r="G898" t="s">
        <v>19</v>
      </c>
      <c r="H898">
        <v>2</v>
      </c>
      <c r="I898">
        <v>1</v>
      </c>
      <c r="J898">
        <v>1</v>
      </c>
      <c r="K898">
        <v>1</v>
      </c>
      <c r="L898">
        <v>0</v>
      </c>
      <c r="M898">
        <v>1</v>
      </c>
      <c r="N898">
        <v>0</v>
      </c>
      <c r="O898">
        <v>1</v>
      </c>
      <c r="P898">
        <v>0</v>
      </c>
    </row>
    <row r="899" spans="1:16" x14ac:dyDescent="0.25">
      <c r="A899" t="str">
        <f>"895"</f>
        <v>895</v>
      </c>
      <c r="B899" t="str">
        <f t="shared" si="47"/>
        <v>102</v>
      </c>
      <c r="C899" t="str">
        <f t="shared" si="49"/>
        <v>36</v>
      </c>
      <c r="D899" t="str">
        <f>"7"</f>
        <v>7</v>
      </c>
      <c r="E899" t="str">
        <f>"102-36-7"</f>
        <v>102-36-7</v>
      </c>
      <c r="F899" t="s">
        <v>18</v>
      </c>
      <c r="G899" t="s">
        <v>19</v>
      </c>
      <c r="H899">
        <v>2</v>
      </c>
      <c r="I899">
        <v>0</v>
      </c>
      <c r="J899">
        <v>0</v>
      </c>
      <c r="K899">
        <v>0</v>
      </c>
      <c r="L899">
        <v>1</v>
      </c>
      <c r="M899">
        <v>1</v>
      </c>
      <c r="N899">
        <v>0</v>
      </c>
      <c r="O899">
        <v>1</v>
      </c>
      <c r="P899">
        <v>0</v>
      </c>
    </row>
    <row r="900" spans="1:16" x14ac:dyDescent="0.25">
      <c r="A900" t="str">
        <f>"896"</f>
        <v>896</v>
      </c>
      <c r="B900" t="str">
        <f t="shared" si="47"/>
        <v>102</v>
      </c>
      <c r="C900" t="str">
        <f t="shared" si="49"/>
        <v>36</v>
      </c>
      <c r="D900" t="str">
        <f>"19"</f>
        <v>19</v>
      </c>
      <c r="E900" t="str">
        <f>"102-36-19"</f>
        <v>102-36-19</v>
      </c>
      <c r="F900" t="s">
        <v>18</v>
      </c>
      <c r="G900" t="s">
        <v>19</v>
      </c>
      <c r="H900">
        <v>2</v>
      </c>
      <c r="I900">
        <v>1</v>
      </c>
      <c r="J900">
        <v>0</v>
      </c>
      <c r="K900">
        <v>1</v>
      </c>
      <c r="L900">
        <v>0</v>
      </c>
      <c r="M900">
        <v>1</v>
      </c>
      <c r="N900">
        <v>0</v>
      </c>
      <c r="O900">
        <v>0</v>
      </c>
      <c r="P900">
        <v>1</v>
      </c>
    </row>
    <row r="901" spans="1:16" x14ac:dyDescent="0.25">
      <c r="A901" t="str">
        <f>"897"</f>
        <v>897</v>
      </c>
      <c r="B901" t="str">
        <f t="shared" ref="B901:B964" si="50">"102"</f>
        <v>102</v>
      </c>
      <c r="C901" t="str">
        <f t="shared" si="49"/>
        <v>36</v>
      </c>
      <c r="D901" t="str">
        <f>"5"</f>
        <v>5</v>
      </c>
      <c r="E901" t="str">
        <f>"102-36-5"</f>
        <v>102-36-5</v>
      </c>
      <c r="F901" t="s">
        <v>18</v>
      </c>
      <c r="G901" t="s">
        <v>19</v>
      </c>
      <c r="H901">
        <v>2</v>
      </c>
      <c r="I901">
        <v>1</v>
      </c>
      <c r="J901">
        <v>1</v>
      </c>
      <c r="K901">
        <v>0</v>
      </c>
      <c r="L901">
        <v>1</v>
      </c>
      <c r="M901">
        <v>0</v>
      </c>
      <c r="N901">
        <v>1</v>
      </c>
      <c r="O901">
        <v>0</v>
      </c>
      <c r="P901">
        <v>1</v>
      </c>
    </row>
    <row r="902" spans="1:16" x14ac:dyDescent="0.25">
      <c r="A902" t="str">
        <f>"898"</f>
        <v>898</v>
      </c>
      <c r="B902" t="str">
        <f t="shared" si="50"/>
        <v>102</v>
      </c>
      <c r="C902" t="str">
        <f t="shared" si="49"/>
        <v>36</v>
      </c>
      <c r="D902" t="str">
        <f>"20"</f>
        <v>20</v>
      </c>
      <c r="E902" t="str">
        <f>"102-36-20"</f>
        <v>102-36-20</v>
      </c>
      <c r="F902" t="s">
        <v>18</v>
      </c>
      <c r="G902" t="s">
        <v>19</v>
      </c>
      <c r="H902">
        <v>2</v>
      </c>
      <c r="I902">
        <v>0</v>
      </c>
      <c r="J902">
        <v>1</v>
      </c>
      <c r="K902">
        <v>0</v>
      </c>
      <c r="L902">
        <v>1</v>
      </c>
      <c r="M902">
        <v>0</v>
      </c>
      <c r="N902">
        <v>1</v>
      </c>
      <c r="O902">
        <v>1</v>
      </c>
      <c r="P902">
        <v>0</v>
      </c>
    </row>
    <row r="903" spans="1:16" x14ac:dyDescent="0.25">
      <c r="A903" t="str">
        <f>"899"</f>
        <v>899</v>
      </c>
      <c r="B903" t="str">
        <f t="shared" si="50"/>
        <v>102</v>
      </c>
      <c r="C903" t="str">
        <f t="shared" si="49"/>
        <v>36</v>
      </c>
      <c r="D903" t="str">
        <f>"4"</f>
        <v>4</v>
      </c>
      <c r="E903" t="str">
        <f>"102-36-4"</f>
        <v>102-36-4</v>
      </c>
      <c r="F903" t="s">
        <v>18</v>
      </c>
      <c r="G903" t="s">
        <v>19</v>
      </c>
      <c r="H903">
        <v>2</v>
      </c>
      <c r="I903">
        <v>1</v>
      </c>
      <c r="J903">
        <v>1</v>
      </c>
      <c r="K903">
        <v>1</v>
      </c>
      <c r="L903">
        <v>0</v>
      </c>
      <c r="M903">
        <v>1</v>
      </c>
      <c r="N903">
        <v>0</v>
      </c>
      <c r="O903">
        <v>1</v>
      </c>
      <c r="P903">
        <v>0</v>
      </c>
    </row>
    <row r="904" spans="1:16" x14ac:dyDescent="0.25">
      <c r="A904" t="str">
        <f>"900"</f>
        <v>900</v>
      </c>
      <c r="B904" t="str">
        <f t="shared" si="50"/>
        <v>102</v>
      </c>
      <c r="C904" t="str">
        <f t="shared" si="49"/>
        <v>36</v>
      </c>
      <c r="D904" t="str">
        <f>"9"</f>
        <v>9</v>
      </c>
      <c r="E904" t="str">
        <f>"102-36-9"</f>
        <v>102-36-9</v>
      </c>
      <c r="F904" t="s">
        <v>18</v>
      </c>
      <c r="G904" t="s">
        <v>19</v>
      </c>
      <c r="H904">
        <v>2</v>
      </c>
      <c r="I904">
        <v>0</v>
      </c>
      <c r="J904">
        <v>0</v>
      </c>
      <c r="K904">
        <v>1</v>
      </c>
      <c r="L904">
        <v>0</v>
      </c>
      <c r="M904">
        <v>1</v>
      </c>
      <c r="N904">
        <v>0</v>
      </c>
      <c r="O904">
        <v>1</v>
      </c>
      <c r="P904">
        <v>0</v>
      </c>
    </row>
    <row r="905" spans="1:16" x14ac:dyDescent="0.25">
      <c r="A905" t="str">
        <f>"901"</f>
        <v>901</v>
      </c>
      <c r="B905" t="str">
        <f t="shared" si="50"/>
        <v>102</v>
      </c>
      <c r="C905" t="str">
        <f t="shared" ref="C905:C929" si="51">"37"</f>
        <v>37</v>
      </c>
      <c r="D905" t="str">
        <f>"22"</f>
        <v>22</v>
      </c>
      <c r="E905" t="str">
        <f>"102-37-22"</f>
        <v>102-37-22</v>
      </c>
      <c r="F905" t="s">
        <v>18</v>
      </c>
      <c r="G905" t="s">
        <v>19</v>
      </c>
      <c r="H905">
        <v>2</v>
      </c>
      <c r="I905">
        <v>1</v>
      </c>
      <c r="J905">
        <v>1</v>
      </c>
      <c r="K905">
        <v>1</v>
      </c>
      <c r="L905">
        <v>0</v>
      </c>
      <c r="M905">
        <v>1</v>
      </c>
      <c r="N905">
        <v>0</v>
      </c>
      <c r="O905">
        <v>1</v>
      </c>
      <c r="P905">
        <v>0</v>
      </c>
    </row>
    <row r="906" spans="1:16" x14ac:dyDescent="0.25">
      <c r="A906" t="str">
        <f>"902"</f>
        <v>902</v>
      </c>
      <c r="B906" t="str">
        <f t="shared" si="50"/>
        <v>102</v>
      </c>
      <c r="C906" t="str">
        <f t="shared" si="51"/>
        <v>37</v>
      </c>
      <c r="D906" t="str">
        <f>"11"</f>
        <v>11</v>
      </c>
      <c r="E906" t="str">
        <f>"102-37-11"</f>
        <v>102-37-11</v>
      </c>
      <c r="F906" t="s">
        <v>18</v>
      </c>
      <c r="G906" t="s">
        <v>19</v>
      </c>
      <c r="H906">
        <v>2</v>
      </c>
      <c r="I906">
        <v>1</v>
      </c>
      <c r="J906">
        <v>1</v>
      </c>
      <c r="K906">
        <v>0</v>
      </c>
      <c r="L906">
        <v>1</v>
      </c>
      <c r="M906">
        <v>0</v>
      </c>
      <c r="N906">
        <v>1</v>
      </c>
      <c r="O906">
        <v>0</v>
      </c>
      <c r="P906">
        <v>1</v>
      </c>
    </row>
    <row r="907" spans="1:16" x14ac:dyDescent="0.25">
      <c r="A907" t="str">
        <f>"903"</f>
        <v>903</v>
      </c>
      <c r="B907" t="str">
        <f t="shared" si="50"/>
        <v>102</v>
      </c>
      <c r="C907" t="str">
        <f t="shared" si="51"/>
        <v>37</v>
      </c>
      <c r="D907" t="str">
        <f>"2"</f>
        <v>2</v>
      </c>
      <c r="E907" t="str">
        <f>"102-37-2"</f>
        <v>102-37-2</v>
      </c>
      <c r="F907" t="s">
        <v>18</v>
      </c>
      <c r="G907" t="s">
        <v>20</v>
      </c>
      <c r="H907">
        <v>1</v>
      </c>
      <c r="K907">
        <v>1</v>
      </c>
      <c r="L907">
        <v>0</v>
      </c>
      <c r="M907">
        <v>1</v>
      </c>
      <c r="N907">
        <v>0</v>
      </c>
    </row>
    <row r="908" spans="1:16" x14ac:dyDescent="0.25">
      <c r="A908" t="str">
        <f>"904"</f>
        <v>904</v>
      </c>
      <c r="B908" t="str">
        <f t="shared" si="50"/>
        <v>102</v>
      </c>
      <c r="C908" t="str">
        <f t="shared" si="51"/>
        <v>37</v>
      </c>
      <c r="D908" t="str">
        <f>"24"</f>
        <v>24</v>
      </c>
      <c r="E908" t="str">
        <f>"102-37-24"</f>
        <v>102-37-24</v>
      </c>
      <c r="F908" t="s">
        <v>18</v>
      </c>
      <c r="G908" t="s">
        <v>19</v>
      </c>
      <c r="H908">
        <v>2</v>
      </c>
      <c r="I908">
        <v>1</v>
      </c>
      <c r="J908">
        <v>1</v>
      </c>
      <c r="K908">
        <v>0</v>
      </c>
      <c r="L908">
        <v>1</v>
      </c>
      <c r="M908">
        <v>0</v>
      </c>
      <c r="N908">
        <v>1</v>
      </c>
      <c r="O908">
        <v>0</v>
      </c>
      <c r="P908">
        <v>1</v>
      </c>
    </row>
    <row r="909" spans="1:16" x14ac:dyDescent="0.25">
      <c r="A909" t="str">
        <f>"905"</f>
        <v>905</v>
      </c>
      <c r="B909" t="str">
        <f t="shared" si="50"/>
        <v>102</v>
      </c>
      <c r="C909" t="str">
        <f t="shared" si="51"/>
        <v>37</v>
      </c>
      <c r="D909" t="str">
        <f>"12"</f>
        <v>12</v>
      </c>
      <c r="E909" t="str">
        <f>"102-37-12"</f>
        <v>102-37-12</v>
      </c>
      <c r="F909" t="s">
        <v>18</v>
      </c>
      <c r="G909" t="s">
        <v>19</v>
      </c>
      <c r="H909">
        <v>2</v>
      </c>
      <c r="I909">
        <v>1</v>
      </c>
      <c r="J909">
        <v>1</v>
      </c>
      <c r="K909">
        <v>0</v>
      </c>
      <c r="L909">
        <v>1</v>
      </c>
      <c r="M909">
        <v>0</v>
      </c>
      <c r="N909">
        <v>1</v>
      </c>
      <c r="O909">
        <v>1</v>
      </c>
      <c r="P909">
        <v>0</v>
      </c>
    </row>
    <row r="910" spans="1:16" x14ac:dyDescent="0.25">
      <c r="A910" t="str">
        <f>"906"</f>
        <v>906</v>
      </c>
      <c r="B910" t="str">
        <f t="shared" si="50"/>
        <v>102</v>
      </c>
      <c r="C910" t="str">
        <f t="shared" si="51"/>
        <v>37</v>
      </c>
      <c r="D910" t="str">
        <f>"5"</f>
        <v>5</v>
      </c>
      <c r="E910" t="str">
        <f>"102-37-5"</f>
        <v>102-37-5</v>
      </c>
      <c r="F910" t="s">
        <v>18</v>
      </c>
      <c r="G910" t="s">
        <v>20</v>
      </c>
      <c r="H910">
        <v>1</v>
      </c>
      <c r="K910">
        <v>0</v>
      </c>
      <c r="L910">
        <v>1</v>
      </c>
      <c r="M910">
        <v>0</v>
      </c>
      <c r="N910">
        <v>1</v>
      </c>
    </row>
    <row r="911" spans="1:16" x14ac:dyDescent="0.25">
      <c r="A911" t="str">
        <f>"907"</f>
        <v>907</v>
      </c>
      <c r="B911" t="str">
        <f t="shared" si="50"/>
        <v>102</v>
      </c>
      <c r="C911" t="str">
        <f t="shared" si="51"/>
        <v>37</v>
      </c>
      <c r="D911" t="str">
        <f>"25"</f>
        <v>25</v>
      </c>
      <c r="E911" t="str">
        <f>"102-37-25"</f>
        <v>102-37-25</v>
      </c>
      <c r="F911" t="s">
        <v>18</v>
      </c>
      <c r="G911" t="s">
        <v>19</v>
      </c>
      <c r="H911">
        <v>2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1</v>
      </c>
      <c r="O911">
        <v>0</v>
      </c>
      <c r="P911">
        <v>1</v>
      </c>
    </row>
    <row r="912" spans="1:16" x14ac:dyDescent="0.25">
      <c r="A912" t="str">
        <f>"908"</f>
        <v>908</v>
      </c>
      <c r="B912" t="str">
        <f t="shared" si="50"/>
        <v>102</v>
      </c>
      <c r="C912" t="str">
        <f t="shared" si="51"/>
        <v>37</v>
      </c>
      <c r="D912" t="str">
        <f>"13"</f>
        <v>13</v>
      </c>
      <c r="E912" t="str">
        <f>"102-37-13"</f>
        <v>102-37-13</v>
      </c>
      <c r="F912" t="s">
        <v>18</v>
      </c>
      <c r="G912" t="s">
        <v>19</v>
      </c>
      <c r="H912">
        <v>2</v>
      </c>
      <c r="I912">
        <v>0</v>
      </c>
      <c r="J912">
        <v>0</v>
      </c>
      <c r="K912">
        <v>0</v>
      </c>
      <c r="L912">
        <v>1</v>
      </c>
      <c r="M912">
        <v>0</v>
      </c>
      <c r="N912">
        <v>1</v>
      </c>
      <c r="O912">
        <v>0</v>
      </c>
      <c r="P912">
        <v>1</v>
      </c>
    </row>
    <row r="913" spans="1:16" x14ac:dyDescent="0.25">
      <c r="A913" t="str">
        <f>"909"</f>
        <v>909</v>
      </c>
      <c r="B913" t="str">
        <f t="shared" si="50"/>
        <v>102</v>
      </c>
      <c r="C913" t="str">
        <f t="shared" si="51"/>
        <v>37</v>
      </c>
      <c r="D913" t="str">
        <f>"3"</f>
        <v>3</v>
      </c>
      <c r="E913" t="str">
        <f>"102-37-3"</f>
        <v>102-37-3</v>
      </c>
      <c r="F913" t="s">
        <v>18</v>
      </c>
      <c r="G913" t="s">
        <v>20</v>
      </c>
      <c r="H913">
        <v>1</v>
      </c>
      <c r="K913">
        <v>1</v>
      </c>
      <c r="L913">
        <v>0</v>
      </c>
      <c r="M913">
        <v>0</v>
      </c>
      <c r="N913">
        <v>1</v>
      </c>
    </row>
    <row r="914" spans="1:16" x14ac:dyDescent="0.25">
      <c r="A914" t="str">
        <f>"910"</f>
        <v>910</v>
      </c>
      <c r="B914" t="str">
        <f t="shared" si="50"/>
        <v>102</v>
      </c>
      <c r="C914" t="str">
        <f t="shared" si="51"/>
        <v>37</v>
      </c>
      <c r="D914" t="str">
        <f>"14"</f>
        <v>14</v>
      </c>
      <c r="E914" t="str">
        <f>"102-37-14"</f>
        <v>102-37-14</v>
      </c>
      <c r="F914" t="s">
        <v>18</v>
      </c>
      <c r="G914" t="s">
        <v>19</v>
      </c>
      <c r="H914">
        <v>2</v>
      </c>
      <c r="I914">
        <v>0</v>
      </c>
      <c r="J914">
        <v>0</v>
      </c>
      <c r="K914">
        <v>1</v>
      </c>
      <c r="L914">
        <v>0</v>
      </c>
      <c r="M914">
        <v>1</v>
      </c>
      <c r="N914">
        <v>0</v>
      </c>
      <c r="O914">
        <v>1</v>
      </c>
      <c r="P914">
        <v>0</v>
      </c>
    </row>
    <row r="915" spans="1:16" x14ac:dyDescent="0.25">
      <c r="A915" t="str">
        <f>"911"</f>
        <v>911</v>
      </c>
      <c r="B915" t="str">
        <f t="shared" si="50"/>
        <v>102</v>
      </c>
      <c r="C915" t="str">
        <f t="shared" si="51"/>
        <v>37</v>
      </c>
      <c r="D915" t="str">
        <f>"1"</f>
        <v>1</v>
      </c>
      <c r="E915" t="str">
        <f>"102-37-1"</f>
        <v>102-37-1</v>
      </c>
      <c r="F915" t="s">
        <v>18</v>
      </c>
      <c r="G915" t="s">
        <v>19</v>
      </c>
      <c r="H915">
        <v>2</v>
      </c>
      <c r="I915">
        <v>1</v>
      </c>
      <c r="J915">
        <v>1</v>
      </c>
      <c r="K915">
        <v>1</v>
      </c>
      <c r="L915">
        <v>0</v>
      </c>
      <c r="M915">
        <v>0</v>
      </c>
      <c r="N915">
        <v>1</v>
      </c>
      <c r="O915">
        <v>1</v>
      </c>
      <c r="P915">
        <v>0</v>
      </c>
    </row>
    <row r="916" spans="1:16" x14ac:dyDescent="0.25">
      <c r="A916" t="str">
        <f>"912"</f>
        <v>912</v>
      </c>
      <c r="B916" t="str">
        <f t="shared" si="50"/>
        <v>102</v>
      </c>
      <c r="C916" t="str">
        <f t="shared" si="51"/>
        <v>37</v>
      </c>
      <c r="D916" t="str">
        <f>"15"</f>
        <v>15</v>
      </c>
      <c r="E916" t="str">
        <f>"102-37-15"</f>
        <v>102-37-15</v>
      </c>
      <c r="F916" t="s">
        <v>18</v>
      </c>
      <c r="G916" t="s">
        <v>19</v>
      </c>
      <c r="H916">
        <v>2</v>
      </c>
      <c r="I916">
        <v>0</v>
      </c>
      <c r="J916">
        <v>1</v>
      </c>
      <c r="K916">
        <v>1</v>
      </c>
      <c r="L916">
        <v>0</v>
      </c>
      <c r="M916">
        <v>0</v>
      </c>
      <c r="N916">
        <v>0</v>
      </c>
      <c r="O916">
        <v>1</v>
      </c>
      <c r="P916">
        <v>0</v>
      </c>
    </row>
    <row r="917" spans="1:16" x14ac:dyDescent="0.25">
      <c r="A917" t="str">
        <f>"913"</f>
        <v>913</v>
      </c>
      <c r="B917" t="str">
        <f t="shared" si="50"/>
        <v>102</v>
      </c>
      <c r="C917" t="str">
        <f t="shared" si="51"/>
        <v>37</v>
      </c>
      <c r="D917" t="str">
        <f>"4"</f>
        <v>4</v>
      </c>
      <c r="E917" t="str">
        <f>"102-37-4"</f>
        <v>102-37-4</v>
      </c>
      <c r="F917" t="s">
        <v>18</v>
      </c>
      <c r="G917" t="s">
        <v>20</v>
      </c>
      <c r="H917">
        <v>1</v>
      </c>
      <c r="K917">
        <v>0</v>
      </c>
      <c r="L917">
        <v>1</v>
      </c>
      <c r="M917">
        <v>0</v>
      </c>
      <c r="N917">
        <v>1</v>
      </c>
    </row>
    <row r="918" spans="1:16" x14ac:dyDescent="0.25">
      <c r="A918" t="str">
        <f>"914"</f>
        <v>914</v>
      </c>
      <c r="B918" t="str">
        <f t="shared" si="50"/>
        <v>102</v>
      </c>
      <c r="C918" t="str">
        <f t="shared" si="51"/>
        <v>37</v>
      </c>
      <c r="D918" t="str">
        <f>"21"</f>
        <v>21</v>
      </c>
      <c r="E918" t="str">
        <f>"102-37-21"</f>
        <v>102-37-21</v>
      </c>
      <c r="F918" t="s">
        <v>18</v>
      </c>
      <c r="G918" t="s">
        <v>19</v>
      </c>
      <c r="H918">
        <v>2</v>
      </c>
      <c r="I918">
        <v>1</v>
      </c>
      <c r="J918">
        <v>1</v>
      </c>
      <c r="K918">
        <v>0</v>
      </c>
      <c r="L918">
        <v>1</v>
      </c>
      <c r="M918">
        <v>0</v>
      </c>
      <c r="N918">
        <v>1</v>
      </c>
      <c r="O918">
        <v>0</v>
      </c>
      <c r="P918">
        <v>1</v>
      </c>
    </row>
    <row r="919" spans="1:16" x14ac:dyDescent="0.25">
      <c r="A919" t="str">
        <f>"915"</f>
        <v>915</v>
      </c>
      <c r="B919" t="str">
        <f t="shared" si="50"/>
        <v>102</v>
      </c>
      <c r="C919" t="str">
        <f t="shared" si="51"/>
        <v>37</v>
      </c>
      <c r="D919" t="str">
        <f>"16"</f>
        <v>16</v>
      </c>
      <c r="E919" t="str">
        <f>"102-37-16"</f>
        <v>102-37-16</v>
      </c>
      <c r="F919" t="s">
        <v>18</v>
      </c>
      <c r="G919" t="s">
        <v>19</v>
      </c>
      <c r="H919">
        <v>2</v>
      </c>
      <c r="I919">
        <v>1</v>
      </c>
      <c r="J919">
        <v>1</v>
      </c>
      <c r="K919">
        <v>0</v>
      </c>
      <c r="L919">
        <v>1</v>
      </c>
      <c r="M919">
        <v>0</v>
      </c>
      <c r="N919">
        <v>1</v>
      </c>
      <c r="O919">
        <v>1</v>
      </c>
      <c r="P919">
        <v>0</v>
      </c>
    </row>
    <row r="920" spans="1:16" x14ac:dyDescent="0.25">
      <c r="A920" t="str">
        <f>"916"</f>
        <v>916</v>
      </c>
      <c r="B920" t="str">
        <f t="shared" si="50"/>
        <v>102</v>
      </c>
      <c r="C920" t="str">
        <f t="shared" si="51"/>
        <v>37</v>
      </c>
      <c r="D920" t="str">
        <f>"8"</f>
        <v>8</v>
      </c>
      <c r="E920" t="str">
        <f>"102-37-8"</f>
        <v>102-37-8</v>
      </c>
      <c r="F920" t="s">
        <v>18</v>
      </c>
      <c r="G920" t="s">
        <v>19</v>
      </c>
      <c r="H920">
        <v>2</v>
      </c>
      <c r="I920">
        <v>1</v>
      </c>
      <c r="J920">
        <v>0</v>
      </c>
      <c r="K920">
        <v>0</v>
      </c>
      <c r="L920">
        <v>1</v>
      </c>
      <c r="M920">
        <v>0</v>
      </c>
      <c r="N920">
        <v>1</v>
      </c>
      <c r="O920">
        <v>0</v>
      </c>
      <c r="P920">
        <v>1</v>
      </c>
    </row>
    <row r="921" spans="1:16" x14ac:dyDescent="0.25">
      <c r="A921" t="str">
        <f>"917"</f>
        <v>917</v>
      </c>
      <c r="B921" t="str">
        <f t="shared" si="50"/>
        <v>102</v>
      </c>
      <c r="C921" t="str">
        <f t="shared" si="51"/>
        <v>37</v>
      </c>
      <c r="D921" t="str">
        <f>"23"</f>
        <v>23</v>
      </c>
      <c r="E921" t="str">
        <f>"102-37-23"</f>
        <v>102-37-23</v>
      </c>
      <c r="F921" t="s">
        <v>18</v>
      </c>
      <c r="G921" t="s">
        <v>19</v>
      </c>
      <c r="H921">
        <v>2</v>
      </c>
      <c r="I921">
        <v>1</v>
      </c>
      <c r="J921">
        <v>1</v>
      </c>
      <c r="K921">
        <v>0</v>
      </c>
      <c r="L921">
        <v>1</v>
      </c>
      <c r="M921">
        <v>0</v>
      </c>
      <c r="N921">
        <v>1</v>
      </c>
      <c r="O921">
        <v>0</v>
      </c>
      <c r="P921">
        <v>1</v>
      </c>
    </row>
    <row r="922" spans="1:16" x14ac:dyDescent="0.25">
      <c r="A922" t="str">
        <f>"918"</f>
        <v>918</v>
      </c>
      <c r="B922" t="str">
        <f t="shared" si="50"/>
        <v>102</v>
      </c>
      <c r="C922" t="str">
        <f t="shared" si="51"/>
        <v>37</v>
      </c>
      <c r="D922" t="str">
        <f>"17"</f>
        <v>17</v>
      </c>
      <c r="E922" t="str">
        <f>"102-37-17"</f>
        <v>102-37-17</v>
      </c>
      <c r="F922" t="s">
        <v>18</v>
      </c>
      <c r="G922" t="s">
        <v>19</v>
      </c>
      <c r="H922">
        <v>2</v>
      </c>
      <c r="I922">
        <v>1</v>
      </c>
      <c r="J922">
        <v>1</v>
      </c>
      <c r="K922">
        <v>0</v>
      </c>
      <c r="L922">
        <v>1</v>
      </c>
      <c r="M922">
        <v>0</v>
      </c>
      <c r="N922">
        <v>1</v>
      </c>
      <c r="O922">
        <v>1</v>
      </c>
      <c r="P922">
        <v>0</v>
      </c>
    </row>
    <row r="923" spans="1:16" x14ac:dyDescent="0.25">
      <c r="A923" t="str">
        <f>"919"</f>
        <v>919</v>
      </c>
      <c r="B923" t="str">
        <f t="shared" si="50"/>
        <v>102</v>
      </c>
      <c r="C923" t="str">
        <f t="shared" si="51"/>
        <v>37</v>
      </c>
      <c r="D923" t="str">
        <f>"10"</f>
        <v>10</v>
      </c>
      <c r="E923" t="str">
        <f>"102-37-10"</f>
        <v>102-37-10</v>
      </c>
      <c r="F923" t="s">
        <v>18</v>
      </c>
      <c r="G923" t="s">
        <v>19</v>
      </c>
      <c r="H923">
        <v>2</v>
      </c>
      <c r="I923">
        <v>1</v>
      </c>
      <c r="J923">
        <v>1</v>
      </c>
      <c r="K923">
        <v>0</v>
      </c>
      <c r="L923">
        <v>1</v>
      </c>
      <c r="M923">
        <v>0</v>
      </c>
      <c r="N923">
        <v>1</v>
      </c>
      <c r="O923">
        <v>0</v>
      </c>
      <c r="P923">
        <v>1</v>
      </c>
    </row>
    <row r="924" spans="1:16" x14ac:dyDescent="0.25">
      <c r="A924" t="str">
        <f>"920"</f>
        <v>920</v>
      </c>
      <c r="B924" t="str">
        <f t="shared" si="50"/>
        <v>102</v>
      </c>
      <c r="C924" t="str">
        <f t="shared" si="51"/>
        <v>37</v>
      </c>
      <c r="D924" t="str">
        <f>"18"</f>
        <v>18</v>
      </c>
      <c r="E924" t="str">
        <f>"102-37-18"</f>
        <v>102-37-18</v>
      </c>
      <c r="F924" t="s">
        <v>18</v>
      </c>
      <c r="G924" t="s">
        <v>19</v>
      </c>
      <c r="H924">
        <v>2</v>
      </c>
      <c r="I924">
        <v>1</v>
      </c>
      <c r="J924">
        <v>1</v>
      </c>
      <c r="K924">
        <v>0</v>
      </c>
      <c r="L924">
        <v>1</v>
      </c>
      <c r="M924">
        <v>0</v>
      </c>
      <c r="N924">
        <v>1</v>
      </c>
      <c r="O924">
        <v>0</v>
      </c>
      <c r="P924">
        <v>1</v>
      </c>
    </row>
    <row r="925" spans="1:16" x14ac:dyDescent="0.25">
      <c r="A925" t="str">
        <f>"921"</f>
        <v>921</v>
      </c>
      <c r="B925" t="str">
        <f t="shared" si="50"/>
        <v>102</v>
      </c>
      <c r="C925" t="str">
        <f t="shared" si="51"/>
        <v>37</v>
      </c>
      <c r="D925" t="str">
        <f>"6"</f>
        <v>6</v>
      </c>
      <c r="E925" t="str">
        <f>"102-37-6"</f>
        <v>102-37-6</v>
      </c>
      <c r="F925" t="s">
        <v>18</v>
      </c>
      <c r="G925" t="s">
        <v>19</v>
      </c>
      <c r="H925">
        <v>2</v>
      </c>
      <c r="I925">
        <v>1</v>
      </c>
      <c r="J925">
        <v>1</v>
      </c>
      <c r="K925">
        <v>0</v>
      </c>
      <c r="L925">
        <v>1</v>
      </c>
      <c r="M925">
        <v>0</v>
      </c>
      <c r="N925">
        <v>1</v>
      </c>
      <c r="O925">
        <v>0</v>
      </c>
      <c r="P925">
        <v>1</v>
      </c>
    </row>
    <row r="926" spans="1:16" x14ac:dyDescent="0.25">
      <c r="A926" t="str">
        <f>"922"</f>
        <v>922</v>
      </c>
      <c r="B926" t="str">
        <f t="shared" si="50"/>
        <v>102</v>
      </c>
      <c r="C926" t="str">
        <f t="shared" si="51"/>
        <v>37</v>
      </c>
      <c r="D926" t="str">
        <f>"19"</f>
        <v>19</v>
      </c>
      <c r="E926" t="str">
        <f>"102-37-19"</f>
        <v>102-37-19</v>
      </c>
      <c r="F926" t="s">
        <v>18</v>
      </c>
      <c r="G926" t="s">
        <v>19</v>
      </c>
      <c r="H926">
        <v>2</v>
      </c>
      <c r="I926">
        <v>1</v>
      </c>
      <c r="J926">
        <v>1</v>
      </c>
      <c r="K926">
        <v>1</v>
      </c>
      <c r="L926">
        <v>0</v>
      </c>
      <c r="M926">
        <v>1</v>
      </c>
      <c r="N926">
        <v>0</v>
      </c>
      <c r="O926">
        <v>1</v>
      </c>
      <c r="P926">
        <v>0</v>
      </c>
    </row>
    <row r="927" spans="1:16" x14ac:dyDescent="0.25">
      <c r="A927" t="str">
        <f>"923"</f>
        <v>923</v>
      </c>
      <c r="B927" t="str">
        <f t="shared" si="50"/>
        <v>102</v>
      </c>
      <c r="C927" t="str">
        <f t="shared" si="51"/>
        <v>37</v>
      </c>
      <c r="D927" t="str">
        <f>"7"</f>
        <v>7</v>
      </c>
      <c r="E927" t="str">
        <f>"102-37-7"</f>
        <v>102-37-7</v>
      </c>
      <c r="F927" t="s">
        <v>18</v>
      </c>
      <c r="G927" t="s">
        <v>19</v>
      </c>
      <c r="H927">
        <v>2</v>
      </c>
      <c r="I927">
        <v>1</v>
      </c>
      <c r="J927">
        <v>1</v>
      </c>
      <c r="K927">
        <v>1</v>
      </c>
      <c r="L927">
        <v>0</v>
      </c>
      <c r="M927">
        <v>1</v>
      </c>
      <c r="N927">
        <v>0</v>
      </c>
      <c r="O927">
        <v>1</v>
      </c>
      <c r="P927">
        <v>0</v>
      </c>
    </row>
    <row r="928" spans="1:16" x14ac:dyDescent="0.25">
      <c r="A928" t="str">
        <f>"924"</f>
        <v>924</v>
      </c>
      <c r="B928" t="str">
        <f t="shared" si="50"/>
        <v>102</v>
      </c>
      <c r="C928" t="str">
        <f t="shared" si="51"/>
        <v>37</v>
      </c>
      <c r="D928" t="str">
        <f>"20"</f>
        <v>20</v>
      </c>
      <c r="E928" t="str">
        <f>"102-37-20"</f>
        <v>102-37-20</v>
      </c>
      <c r="F928" t="s">
        <v>18</v>
      </c>
      <c r="G928" t="s">
        <v>19</v>
      </c>
      <c r="H928">
        <v>2</v>
      </c>
      <c r="I928">
        <v>1</v>
      </c>
      <c r="J928">
        <v>1</v>
      </c>
      <c r="K928">
        <v>1</v>
      </c>
      <c r="L928">
        <v>0</v>
      </c>
      <c r="M928">
        <v>1</v>
      </c>
      <c r="N928">
        <v>0</v>
      </c>
      <c r="O928">
        <v>1</v>
      </c>
      <c r="P928">
        <v>0</v>
      </c>
    </row>
    <row r="929" spans="1:16" x14ac:dyDescent="0.25">
      <c r="A929" t="str">
        <f>"925"</f>
        <v>925</v>
      </c>
      <c r="B929" t="str">
        <f t="shared" si="50"/>
        <v>102</v>
      </c>
      <c r="C929" t="str">
        <f t="shared" si="51"/>
        <v>37</v>
      </c>
      <c r="D929" t="str">
        <f>"9"</f>
        <v>9</v>
      </c>
      <c r="E929" t="str">
        <f>"102-37-9"</f>
        <v>102-37-9</v>
      </c>
      <c r="F929" t="s">
        <v>18</v>
      </c>
      <c r="G929" t="s">
        <v>19</v>
      </c>
      <c r="H929">
        <v>2</v>
      </c>
      <c r="I929">
        <v>1</v>
      </c>
      <c r="J929">
        <v>1</v>
      </c>
      <c r="K929">
        <v>1</v>
      </c>
      <c r="L929">
        <v>0</v>
      </c>
      <c r="M929">
        <v>0</v>
      </c>
      <c r="N929">
        <v>1</v>
      </c>
      <c r="O929">
        <v>0</v>
      </c>
      <c r="P929">
        <v>1</v>
      </c>
    </row>
    <row r="930" spans="1:16" x14ac:dyDescent="0.25">
      <c r="A930" t="str">
        <f>"926"</f>
        <v>926</v>
      </c>
      <c r="B930" t="str">
        <f t="shared" si="50"/>
        <v>102</v>
      </c>
      <c r="C930" t="str">
        <f t="shared" ref="C930:C954" si="52">"38"</f>
        <v>38</v>
      </c>
      <c r="D930" t="str">
        <f>"21"</f>
        <v>21</v>
      </c>
      <c r="E930" t="str">
        <f>"102-38-21"</f>
        <v>102-38-21</v>
      </c>
      <c r="F930" t="s">
        <v>18</v>
      </c>
      <c r="G930" t="s">
        <v>20</v>
      </c>
      <c r="H930">
        <v>1</v>
      </c>
      <c r="K930">
        <v>0</v>
      </c>
      <c r="L930">
        <v>1</v>
      </c>
      <c r="M930">
        <v>0</v>
      </c>
      <c r="N930">
        <v>1</v>
      </c>
    </row>
    <row r="931" spans="1:16" x14ac:dyDescent="0.25">
      <c r="A931" t="str">
        <f>"927"</f>
        <v>927</v>
      </c>
      <c r="B931" t="str">
        <f t="shared" si="50"/>
        <v>102</v>
      </c>
      <c r="C931" t="str">
        <f t="shared" si="52"/>
        <v>38</v>
      </c>
      <c r="D931" t="str">
        <f>"11"</f>
        <v>11</v>
      </c>
      <c r="E931" t="str">
        <f>"102-38-11"</f>
        <v>102-38-11</v>
      </c>
      <c r="F931" t="s">
        <v>18</v>
      </c>
      <c r="G931" t="s">
        <v>20</v>
      </c>
      <c r="H931">
        <v>1</v>
      </c>
      <c r="K931">
        <v>0</v>
      </c>
      <c r="L931">
        <v>1</v>
      </c>
      <c r="M931">
        <v>0</v>
      </c>
      <c r="N931">
        <v>1</v>
      </c>
    </row>
    <row r="932" spans="1:16" x14ac:dyDescent="0.25">
      <c r="A932" t="str">
        <f>"928"</f>
        <v>928</v>
      </c>
      <c r="B932" t="str">
        <f t="shared" si="50"/>
        <v>102</v>
      </c>
      <c r="C932" t="str">
        <f t="shared" si="52"/>
        <v>38</v>
      </c>
      <c r="D932" t="str">
        <f>"1"</f>
        <v>1</v>
      </c>
      <c r="E932" t="str">
        <f>"102-38-1"</f>
        <v>102-38-1</v>
      </c>
      <c r="F932" t="s">
        <v>18</v>
      </c>
      <c r="G932" t="s">
        <v>20</v>
      </c>
      <c r="H932">
        <v>1</v>
      </c>
      <c r="K932">
        <v>1</v>
      </c>
      <c r="L932">
        <v>0</v>
      </c>
      <c r="M932">
        <v>1</v>
      </c>
      <c r="N932">
        <v>0</v>
      </c>
    </row>
    <row r="933" spans="1:16" x14ac:dyDescent="0.25">
      <c r="A933" t="str">
        <f>"929"</f>
        <v>929</v>
      </c>
      <c r="B933" t="str">
        <f t="shared" si="50"/>
        <v>102</v>
      </c>
      <c r="C933" t="str">
        <f t="shared" si="52"/>
        <v>38</v>
      </c>
      <c r="D933" t="str">
        <f>"22"</f>
        <v>22</v>
      </c>
      <c r="E933" t="str">
        <f>"102-38-22"</f>
        <v>102-38-22</v>
      </c>
      <c r="F933" t="s">
        <v>18</v>
      </c>
      <c r="G933" t="s">
        <v>20</v>
      </c>
      <c r="H933">
        <v>1</v>
      </c>
      <c r="K933">
        <v>1</v>
      </c>
      <c r="L933">
        <v>0</v>
      </c>
      <c r="M933">
        <v>1</v>
      </c>
      <c r="N933">
        <v>0</v>
      </c>
    </row>
    <row r="934" spans="1:16" x14ac:dyDescent="0.25">
      <c r="A934" t="str">
        <f>"930"</f>
        <v>930</v>
      </c>
      <c r="B934" t="str">
        <f t="shared" si="50"/>
        <v>102</v>
      </c>
      <c r="C934" t="str">
        <f t="shared" si="52"/>
        <v>38</v>
      </c>
      <c r="D934" t="str">
        <f>"12"</f>
        <v>12</v>
      </c>
      <c r="E934" t="str">
        <f>"102-38-12"</f>
        <v>102-38-12</v>
      </c>
      <c r="F934" t="s">
        <v>18</v>
      </c>
      <c r="G934" t="s">
        <v>20</v>
      </c>
      <c r="H934">
        <v>1</v>
      </c>
      <c r="K934">
        <v>0</v>
      </c>
      <c r="L934">
        <v>1</v>
      </c>
      <c r="M934">
        <v>0</v>
      </c>
      <c r="N934">
        <v>1</v>
      </c>
    </row>
    <row r="935" spans="1:16" x14ac:dyDescent="0.25">
      <c r="A935" t="str">
        <f>"931"</f>
        <v>931</v>
      </c>
      <c r="B935" t="str">
        <f t="shared" si="50"/>
        <v>102</v>
      </c>
      <c r="C935" t="str">
        <f t="shared" si="52"/>
        <v>38</v>
      </c>
      <c r="D935" t="str">
        <f>"3"</f>
        <v>3</v>
      </c>
      <c r="E935" t="str">
        <f>"102-38-3"</f>
        <v>102-38-3</v>
      </c>
      <c r="F935" t="s">
        <v>18</v>
      </c>
      <c r="G935" t="s">
        <v>20</v>
      </c>
      <c r="H935">
        <v>1</v>
      </c>
      <c r="K935">
        <v>1</v>
      </c>
      <c r="L935">
        <v>0</v>
      </c>
      <c r="M935">
        <v>1</v>
      </c>
      <c r="N935">
        <v>0</v>
      </c>
    </row>
    <row r="936" spans="1:16" x14ac:dyDescent="0.25">
      <c r="A936" t="str">
        <f>"932"</f>
        <v>932</v>
      </c>
      <c r="B936" t="str">
        <f t="shared" si="50"/>
        <v>102</v>
      </c>
      <c r="C936" t="str">
        <f t="shared" si="52"/>
        <v>38</v>
      </c>
      <c r="D936" t="str">
        <f>"23"</f>
        <v>23</v>
      </c>
      <c r="E936" t="str">
        <f>"102-38-23"</f>
        <v>102-38-23</v>
      </c>
      <c r="F936" t="s">
        <v>18</v>
      </c>
      <c r="G936" t="s">
        <v>20</v>
      </c>
      <c r="H936">
        <v>1</v>
      </c>
      <c r="K936">
        <v>1</v>
      </c>
      <c r="L936">
        <v>0</v>
      </c>
      <c r="M936">
        <v>1</v>
      </c>
      <c r="N936">
        <v>0</v>
      </c>
    </row>
    <row r="937" spans="1:16" x14ac:dyDescent="0.25">
      <c r="A937" t="str">
        <f>"933"</f>
        <v>933</v>
      </c>
      <c r="B937" t="str">
        <f t="shared" si="50"/>
        <v>102</v>
      </c>
      <c r="C937" t="str">
        <f t="shared" si="52"/>
        <v>38</v>
      </c>
      <c r="D937" t="str">
        <f>"13"</f>
        <v>13</v>
      </c>
      <c r="E937" t="str">
        <f>"102-38-13"</f>
        <v>102-38-13</v>
      </c>
      <c r="F937" t="s">
        <v>18</v>
      </c>
      <c r="G937" t="s">
        <v>20</v>
      </c>
      <c r="H937">
        <v>1</v>
      </c>
      <c r="K937">
        <v>0</v>
      </c>
      <c r="L937">
        <v>1</v>
      </c>
      <c r="M937">
        <v>0</v>
      </c>
      <c r="N937">
        <v>1</v>
      </c>
    </row>
    <row r="938" spans="1:16" x14ac:dyDescent="0.25">
      <c r="A938" t="str">
        <f>"934"</f>
        <v>934</v>
      </c>
      <c r="B938" t="str">
        <f t="shared" si="50"/>
        <v>102</v>
      </c>
      <c r="C938" t="str">
        <f t="shared" si="52"/>
        <v>38</v>
      </c>
      <c r="D938" t="str">
        <f>"6"</f>
        <v>6</v>
      </c>
      <c r="E938" t="str">
        <f>"102-38-6"</f>
        <v>102-38-6</v>
      </c>
      <c r="F938" t="s">
        <v>18</v>
      </c>
      <c r="G938" t="s">
        <v>20</v>
      </c>
      <c r="H938">
        <v>1</v>
      </c>
      <c r="K938">
        <v>0</v>
      </c>
      <c r="L938">
        <v>1</v>
      </c>
      <c r="M938">
        <v>0</v>
      </c>
      <c r="N938">
        <v>1</v>
      </c>
    </row>
    <row r="939" spans="1:16" x14ac:dyDescent="0.25">
      <c r="A939" t="str">
        <f>"935"</f>
        <v>935</v>
      </c>
      <c r="B939" t="str">
        <f t="shared" si="50"/>
        <v>102</v>
      </c>
      <c r="C939" t="str">
        <f t="shared" si="52"/>
        <v>38</v>
      </c>
      <c r="D939" t="str">
        <f>"14"</f>
        <v>14</v>
      </c>
      <c r="E939" t="str">
        <f>"102-38-14"</f>
        <v>102-38-14</v>
      </c>
      <c r="F939" t="s">
        <v>18</v>
      </c>
      <c r="G939" t="s">
        <v>20</v>
      </c>
      <c r="H939">
        <v>1</v>
      </c>
      <c r="K939">
        <v>0</v>
      </c>
      <c r="L939">
        <v>1</v>
      </c>
      <c r="M939">
        <v>0</v>
      </c>
      <c r="N939">
        <v>1</v>
      </c>
    </row>
    <row r="940" spans="1:16" x14ac:dyDescent="0.25">
      <c r="A940" t="str">
        <f>"936"</f>
        <v>936</v>
      </c>
      <c r="B940" t="str">
        <f t="shared" si="50"/>
        <v>102</v>
      </c>
      <c r="C940" t="str">
        <f t="shared" si="52"/>
        <v>38</v>
      </c>
      <c r="D940" t="str">
        <f>"2"</f>
        <v>2</v>
      </c>
      <c r="E940" t="str">
        <f>"102-38-2"</f>
        <v>102-38-2</v>
      </c>
      <c r="F940" t="s">
        <v>18</v>
      </c>
      <c r="G940" t="s">
        <v>20</v>
      </c>
      <c r="H940">
        <v>1</v>
      </c>
      <c r="K940">
        <v>1</v>
      </c>
      <c r="L940">
        <v>0</v>
      </c>
      <c r="M940">
        <v>1</v>
      </c>
      <c r="N940">
        <v>0</v>
      </c>
    </row>
    <row r="941" spans="1:16" x14ac:dyDescent="0.25">
      <c r="A941" t="str">
        <f>"937"</f>
        <v>937</v>
      </c>
      <c r="B941" t="str">
        <f t="shared" si="50"/>
        <v>102</v>
      </c>
      <c r="C941" t="str">
        <f t="shared" si="52"/>
        <v>38</v>
      </c>
      <c r="D941" t="str">
        <f>"24"</f>
        <v>24</v>
      </c>
      <c r="E941" t="str">
        <f>"102-38-24"</f>
        <v>102-38-24</v>
      </c>
      <c r="F941" t="s">
        <v>18</v>
      </c>
      <c r="G941" t="s">
        <v>20</v>
      </c>
      <c r="H941">
        <v>1</v>
      </c>
      <c r="K941">
        <v>0</v>
      </c>
      <c r="L941">
        <v>1</v>
      </c>
      <c r="M941">
        <v>0</v>
      </c>
      <c r="N941">
        <v>1</v>
      </c>
    </row>
    <row r="942" spans="1:16" x14ac:dyDescent="0.25">
      <c r="A942" t="str">
        <f>"938"</f>
        <v>938</v>
      </c>
      <c r="B942" t="str">
        <f t="shared" si="50"/>
        <v>102</v>
      </c>
      <c r="C942" t="str">
        <f t="shared" si="52"/>
        <v>38</v>
      </c>
      <c r="D942" t="str">
        <f>"15"</f>
        <v>15</v>
      </c>
      <c r="E942" t="str">
        <f>"102-38-15"</f>
        <v>102-38-15</v>
      </c>
      <c r="F942" t="s">
        <v>18</v>
      </c>
      <c r="G942" t="s">
        <v>20</v>
      </c>
      <c r="H942">
        <v>1</v>
      </c>
      <c r="K942">
        <v>0</v>
      </c>
      <c r="L942">
        <v>1</v>
      </c>
      <c r="M942">
        <v>0</v>
      </c>
      <c r="N942">
        <v>1</v>
      </c>
    </row>
    <row r="943" spans="1:16" x14ac:dyDescent="0.25">
      <c r="A943" t="str">
        <f>"939"</f>
        <v>939</v>
      </c>
      <c r="B943" t="str">
        <f t="shared" si="50"/>
        <v>102</v>
      </c>
      <c r="C943" t="str">
        <f t="shared" si="52"/>
        <v>38</v>
      </c>
      <c r="D943" t="str">
        <f>"5"</f>
        <v>5</v>
      </c>
      <c r="E943" t="str">
        <f>"102-38-5"</f>
        <v>102-38-5</v>
      </c>
      <c r="F943" t="s">
        <v>18</v>
      </c>
      <c r="G943" t="s">
        <v>20</v>
      </c>
      <c r="H943">
        <v>1</v>
      </c>
      <c r="K943">
        <v>1</v>
      </c>
      <c r="L943">
        <v>0</v>
      </c>
      <c r="M943">
        <v>0</v>
      </c>
      <c r="N943">
        <v>1</v>
      </c>
    </row>
    <row r="944" spans="1:16" x14ac:dyDescent="0.25">
      <c r="A944" t="str">
        <f>"940"</f>
        <v>940</v>
      </c>
      <c r="B944" t="str">
        <f t="shared" si="50"/>
        <v>102</v>
      </c>
      <c r="C944" t="str">
        <f t="shared" si="52"/>
        <v>38</v>
      </c>
      <c r="D944" t="str">
        <f>"25"</f>
        <v>25</v>
      </c>
      <c r="E944" t="str">
        <f>"102-38-25"</f>
        <v>102-38-25</v>
      </c>
      <c r="F944" t="s">
        <v>18</v>
      </c>
      <c r="G944" t="s">
        <v>20</v>
      </c>
      <c r="H944">
        <v>1</v>
      </c>
      <c r="K944">
        <v>0</v>
      </c>
      <c r="L944">
        <v>1</v>
      </c>
      <c r="M944">
        <v>0</v>
      </c>
      <c r="N944">
        <v>1</v>
      </c>
    </row>
    <row r="945" spans="1:14" x14ac:dyDescent="0.25">
      <c r="A945" t="str">
        <f>"941"</f>
        <v>941</v>
      </c>
      <c r="B945" t="str">
        <f t="shared" si="50"/>
        <v>102</v>
      </c>
      <c r="C945" t="str">
        <f t="shared" si="52"/>
        <v>38</v>
      </c>
      <c r="D945" t="str">
        <f>"16"</f>
        <v>16</v>
      </c>
      <c r="E945" t="str">
        <f>"102-38-16"</f>
        <v>102-38-16</v>
      </c>
      <c r="F945" t="s">
        <v>18</v>
      </c>
      <c r="G945" t="s">
        <v>20</v>
      </c>
      <c r="H945">
        <v>1</v>
      </c>
      <c r="K945">
        <v>0</v>
      </c>
      <c r="L945">
        <v>1</v>
      </c>
      <c r="M945">
        <v>0</v>
      </c>
      <c r="N945">
        <v>1</v>
      </c>
    </row>
    <row r="946" spans="1:14" x14ac:dyDescent="0.25">
      <c r="A946" t="str">
        <f>"942"</f>
        <v>942</v>
      </c>
      <c r="B946" t="str">
        <f t="shared" si="50"/>
        <v>102</v>
      </c>
      <c r="C946" t="str">
        <f t="shared" si="52"/>
        <v>38</v>
      </c>
      <c r="D946" t="str">
        <f>"8"</f>
        <v>8</v>
      </c>
      <c r="E946" t="str">
        <f>"102-38-8"</f>
        <v>102-38-8</v>
      </c>
      <c r="F946" t="s">
        <v>18</v>
      </c>
      <c r="G946" t="s">
        <v>20</v>
      </c>
      <c r="H946">
        <v>1</v>
      </c>
      <c r="K946">
        <v>0</v>
      </c>
      <c r="L946">
        <v>1</v>
      </c>
      <c r="M946">
        <v>0</v>
      </c>
      <c r="N946">
        <v>1</v>
      </c>
    </row>
    <row r="947" spans="1:14" x14ac:dyDescent="0.25">
      <c r="A947" t="str">
        <f>"943"</f>
        <v>943</v>
      </c>
      <c r="B947" t="str">
        <f t="shared" si="50"/>
        <v>102</v>
      </c>
      <c r="C947" t="str">
        <f t="shared" si="52"/>
        <v>38</v>
      </c>
      <c r="D947" t="str">
        <f>"17"</f>
        <v>17</v>
      </c>
      <c r="E947" t="str">
        <f>"102-38-17"</f>
        <v>102-38-17</v>
      </c>
      <c r="F947" t="s">
        <v>18</v>
      </c>
      <c r="G947" t="s">
        <v>20</v>
      </c>
      <c r="H947">
        <v>1</v>
      </c>
      <c r="K947">
        <v>0</v>
      </c>
      <c r="L947">
        <v>1</v>
      </c>
      <c r="M947">
        <v>0</v>
      </c>
      <c r="N947">
        <v>1</v>
      </c>
    </row>
    <row r="948" spans="1:14" x14ac:dyDescent="0.25">
      <c r="A948" t="str">
        <f>"944"</f>
        <v>944</v>
      </c>
      <c r="B948" t="str">
        <f t="shared" si="50"/>
        <v>102</v>
      </c>
      <c r="C948" t="str">
        <f t="shared" si="52"/>
        <v>38</v>
      </c>
      <c r="D948" t="str">
        <f>"4"</f>
        <v>4</v>
      </c>
      <c r="E948" t="str">
        <f>"102-38-4"</f>
        <v>102-38-4</v>
      </c>
      <c r="F948" t="s">
        <v>18</v>
      </c>
      <c r="G948" t="s">
        <v>20</v>
      </c>
      <c r="H948">
        <v>1</v>
      </c>
      <c r="K948">
        <v>1</v>
      </c>
      <c r="L948">
        <v>0</v>
      </c>
      <c r="M948">
        <v>1</v>
      </c>
      <c r="N948">
        <v>0</v>
      </c>
    </row>
    <row r="949" spans="1:14" x14ac:dyDescent="0.25">
      <c r="A949" t="str">
        <f>"945"</f>
        <v>945</v>
      </c>
      <c r="B949" t="str">
        <f t="shared" si="50"/>
        <v>102</v>
      </c>
      <c r="C949" t="str">
        <f t="shared" si="52"/>
        <v>38</v>
      </c>
      <c r="D949" t="str">
        <f>"18"</f>
        <v>18</v>
      </c>
      <c r="E949" t="str">
        <f>"102-38-18"</f>
        <v>102-38-18</v>
      </c>
      <c r="F949" t="s">
        <v>18</v>
      </c>
      <c r="G949" t="s">
        <v>20</v>
      </c>
      <c r="H949">
        <v>1</v>
      </c>
      <c r="K949">
        <v>0</v>
      </c>
      <c r="L949">
        <v>1</v>
      </c>
      <c r="M949">
        <v>0</v>
      </c>
      <c r="N949">
        <v>1</v>
      </c>
    </row>
    <row r="950" spans="1:14" x14ac:dyDescent="0.25">
      <c r="A950" t="str">
        <f>"946"</f>
        <v>946</v>
      </c>
      <c r="B950" t="str">
        <f t="shared" si="50"/>
        <v>102</v>
      </c>
      <c r="C950" t="str">
        <f t="shared" si="52"/>
        <v>38</v>
      </c>
      <c r="D950" t="str">
        <f>"10"</f>
        <v>10</v>
      </c>
      <c r="E950" t="str">
        <f>"102-38-10"</f>
        <v>102-38-10</v>
      </c>
      <c r="F950" t="s">
        <v>18</v>
      </c>
      <c r="G950" t="s">
        <v>20</v>
      </c>
      <c r="H950">
        <v>1</v>
      </c>
      <c r="K950">
        <v>0</v>
      </c>
      <c r="L950">
        <v>1</v>
      </c>
      <c r="M950">
        <v>0</v>
      </c>
      <c r="N950">
        <v>1</v>
      </c>
    </row>
    <row r="951" spans="1:14" x14ac:dyDescent="0.25">
      <c r="A951" t="str">
        <f>"947"</f>
        <v>947</v>
      </c>
      <c r="B951" t="str">
        <f t="shared" si="50"/>
        <v>102</v>
      </c>
      <c r="C951" t="str">
        <f t="shared" si="52"/>
        <v>38</v>
      </c>
      <c r="D951" t="str">
        <f>"19"</f>
        <v>19</v>
      </c>
      <c r="E951" t="str">
        <f>"102-38-19"</f>
        <v>102-38-19</v>
      </c>
      <c r="F951" t="s">
        <v>18</v>
      </c>
      <c r="G951" t="s">
        <v>20</v>
      </c>
      <c r="H951">
        <v>1</v>
      </c>
      <c r="K951">
        <v>0</v>
      </c>
      <c r="L951">
        <v>1</v>
      </c>
      <c r="M951">
        <v>0</v>
      </c>
      <c r="N951">
        <v>1</v>
      </c>
    </row>
    <row r="952" spans="1:14" x14ac:dyDescent="0.25">
      <c r="A952" t="str">
        <f>"948"</f>
        <v>948</v>
      </c>
      <c r="B952" t="str">
        <f t="shared" si="50"/>
        <v>102</v>
      </c>
      <c r="C952" t="str">
        <f t="shared" si="52"/>
        <v>38</v>
      </c>
      <c r="D952" t="str">
        <f>"9"</f>
        <v>9</v>
      </c>
      <c r="E952" t="str">
        <f>"102-38-9"</f>
        <v>102-38-9</v>
      </c>
      <c r="F952" t="s">
        <v>18</v>
      </c>
      <c r="G952" t="s">
        <v>20</v>
      </c>
      <c r="H952">
        <v>1</v>
      </c>
      <c r="K952">
        <v>0</v>
      </c>
      <c r="L952">
        <v>1</v>
      </c>
      <c r="M952">
        <v>0</v>
      </c>
      <c r="N952">
        <v>1</v>
      </c>
    </row>
    <row r="953" spans="1:14" x14ac:dyDescent="0.25">
      <c r="A953" t="str">
        <f>"949"</f>
        <v>949</v>
      </c>
      <c r="B953" t="str">
        <f t="shared" si="50"/>
        <v>102</v>
      </c>
      <c r="C953" t="str">
        <f t="shared" si="52"/>
        <v>38</v>
      </c>
      <c r="D953" t="str">
        <f>"20"</f>
        <v>20</v>
      </c>
      <c r="E953" t="str">
        <f>"102-38-20"</f>
        <v>102-38-20</v>
      </c>
      <c r="F953" t="s">
        <v>18</v>
      </c>
      <c r="G953" t="s">
        <v>20</v>
      </c>
      <c r="H953">
        <v>1</v>
      </c>
      <c r="K953">
        <v>1</v>
      </c>
      <c r="L953">
        <v>0</v>
      </c>
      <c r="M953">
        <v>1</v>
      </c>
      <c r="N953">
        <v>0</v>
      </c>
    </row>
    <row r="954" spans="1:14" x14ac:dyDescent="0.25">
      <c r="A954" t="str">
        <f>"950"</f>
        <v>950</v>
      </c>
      <c r="B954" t="str">
        <f t="shared" si="50"/>
        <v>102</v>
      </c>
      <c r="C954" t="str">
        <f t="shared" si="52"/>
        <v>38</v>
      </c>
      <c r="D954" t="str">
        <f>"7"</f>
        <v>7</v>
      </c>
      <c r="E954" t="str">
        <f>"102-38-7"</f>
        <v>102-38-7</v>
      </c>
      <c r="F954" t="s">
        <v>18</v>
      </c>
      <c r="G954" t="s">
        <v>20</v>
      </c>
      <c r="H954">
        <v>1</v>
      </c>
      <c r="K954">
        <v>0</v>
      </c>
      <c r="L954">
        <v>1</v>
      </c>
      <c r="M954">
        <v>0</v>
      </c>
      <c r="N954">
        <v>1</v>
      </c>
    </row>
    <row r="955" spans="1:14" x14ac:dyDescent="0.25">
      <c r="A955" t="str">
        <f>"951"</f>
        <v>951</v>
      </c>
      <c r="B955" t="str">
        <f t="shared" si="50"/>
        <v>102</v>
      </c>
      <c r="C955" t="str">
        <f t="shared" ref="C955:C979" si="53">"39"</f>
        <v>39</v>
      </c>
      <c r="D955" t="str">
        <f>"20"</f>
        <v>20</v>
      </c>
      <c r="E955" t="str">
        <f>"102-39-20"</f>
        <v>102-39-20</v>
      </c>
      <c r="F955" t="s">
        <v>18</v>
      </c>
      <c r="G955" t="s">
        <v>20</v>
      </c>
      <c r="H955">
        <v>1</v>
      </c>
      <c r="K955">
        <v>1</v>
      </c>
      <c r="L955">
        <v>0</v>
      </c>
      <c r="M955">
        <v>0</v>
      </c>
      <c r="N955">
        <v>1</v>
      </c>
    </row>
    <row r="956" spans="1:14" x14ac:dyDescent="0.25">
      <c r="A956" t="str">
        <f>"952"</f>
        <v>952</v>
      </c>
      <c r="B956" t="str">
        <f t="shared" si="50"/>
        <v>102</v>
      </c>
      <c r="C956" t="str">
        <f t="shared" si="53"/>
        <v>39</v>
      </c>
      <c r="D956" t="str">
        <f>"11"</f>
        <v>11</v>
      </c>
      <c r="E956" t="str">
        <f>"102-39-11"</f>
        <v>102-39-11</v>
      </c>
      <c r="F956" t="s">
        <v>18</v>
      </c>
      <c r="G956" t="s">
        <v>20</v>
      </c>
      <c r="H956">
        <v>1</v>
      </c>
      <c r="K956">
        <v>1</v>
      </c>
      <c r="L956">
        <v>0</v>
      </c>
      <c r="M956">
        <v>1</v>
      </c>
      <c r="N956">
        <v>0</v>
      </c>
    </row>
    <row r="957" spans="1:14" x14ac:dyDescent="0.25">
      <c r="A957" t="str">
        <f>"953"</f>
        <v>953</v>
      </c>
      <c r="B957" t="str">
        <f t="shared" si="50"/>
        <v>102</v>
      </c>
      <c r="C957" t="str">
        <f t="shared" si="53"/>
        <v>39</v>
      </c>
      <c r="D957" t="str">
        <f>"1"</f>
        <v>1</v>
      </c>
      <c r="E957" t="str">
        <f>"102-39-1"</f>
        <v>102-39-1</v>
      </c>
      <c r="F957" t="s">
        <v>18</v>
      </c>
      <c r="G957" t="s">
        <v>20</v>
      </c>
      <c r="H957">
        <v>1</v>
      </c>
      <c r="K957">
        <v>1</v>
      </c>
      <c r="L957">
        <v>0</v>
      </c>
      <c r="M957">
        <v>1</v>
      </c>
      <c r="N957">
        <v>0</v>
      </c>
    </row>
    <row r="958" spans="1:14" x14ac:dyDescent="0.25">
      <c r="A958" t="str">
        <f>"954"</f>
        <v>954</v>
      </c>
      <c r="B958" t="str">
        <f t="shared" si="50"/>
        <v>102</v>
      </c>
      <c r="C958" t="str">
        <f t="shared" si="53"/>
        <v>39</v>
      </c>
      <c r="D958" t="str">
        <f>"24"</f>
        <v>24</v>
      </c>
      <c r="E958" t="str">
        <f>"102-39-24"</f>
        <v>102-39-24</v>
      </c>
      <c r="F958" t="s">
        <v>18</v>
      </c>
      <c r="G958" t="s">
        <v>20</v>
      </c>
      <c r="H958">
        <v>1</v>
      </c>
      <c r="K958">
        <v>0</v>
      </c>
      <c r="L958">
        <v>1</v>
      </c>
      <c r="M958">
        <v>0</v>
      </c>
      <c r="N958">
        <v>1</v>
      </c>
    </row>
    <row r="959" spans="1:14" x14ac:dyDescent="0.25">
      <c r="A959" t="str">
        <f>"955"</f>
        <v>955</v>
      </c>
      <c r="B959" t="str">
        <f t="shared" si="50"/>
        <v>102</v>
      </c>
      <c r="C959" t="str">
        <f t="shared" si="53"/>
        <v>39</v>
      </c>
      <c r="D959" t="str">
        <f>"12"</f>
        <v>12</v>
      </c>
      <c r="E959" t="str">
        <f>"102-39-12"</f>
        <v>102-39-12</v>
      </c>
      <c r="F959" t="s">
        <v>18</v>
      </c>
      <c r="G959" t="s">
        <v>20</v>
      </c>
      <c r="H959">
        <v>1</v>
      </c>
      <c r="K959">
        <v>1</v>
      </c>
      <c r="L959">
        <v>0</v>
      </c>
      <c r="M959">
        <v>0</v>
      </c>
      <c r="N959">
        <v>1</v>
      </c>
    </row>
    <row r="960" spans="1:14" x14ac:dyDescent="0.25">
      <c r="A960" t="str">
        <f>"956"</f>
        <v>956</v>
      </c>
      <c r="B960" t="str">
        <f t="shared" si="50"/>
        <v>102</v>
      </c>
      <c r="C960" t="str">
        <f t="shared" si="53"/>
        <v>39</v>
      </c>
      <c r="D960" t="str">
        <f>"2"</f>
        <v>2</v>
      </c>
      <c r="E960" t="str">
        <f>"102-39-2"</f>
        <v>102-39-2</v>
      </c>
      <c r="F960" t="s">
        <v>18</v>
      </c>
      <c r="G960" t="s">
        <v>20</v>
      </c>
      <c r="H960">
        <v>1</v>
      </c>
      <c r="K960">
        <v>1</v>
      </c>
      <c r="L960">
        <v>0</v>
      </c>
      <c r="M960">
        <v>1</v>
      </c>
      <c r="N960">
        <v>0</v>
      </c>
    </row>
    <row r="961" spans="1:16" x14ac:dyDescent="0.25">
      <c r="A961" t="str">
        <f>"957"</f>
        <v>957</v>
      </c>
      <c r="B961" t="str">
        <f t="shared" si="50"/>
        <v>102</v>
      </c>
      <c r="C961" t="str">
        <f t="shared" si="53"/>
        <v>39</v>
      </c>
      <c r="D961" t="str">
        <f>"25"</f>
        <v>25</v>
      </c>
      <c r="E961" t="str">
        <f>"102-39-25"</f>
        <v>102-39-25</v>
      </c>
      <c r="F961" t="s">
        <v>18</v>
      </c>
      <c r="G961" t="s">
        <v>20</v>
      </c>
      <c r="H961">
        <v>1</v>
      </c>
      <c r="K961">
        <v>0</v>
      </c>
      <c r="L961">
        <v>1</v>
      </c>
      <c r="M961">
        <v>0</v>
      </c>
      <c r="N961">
        <v>1</v>
      </c>
    </row>
    <row r="962" spans="1:16" x14ac:dyDescent="0.25">
      <c r="A962" t="str">
        <f>"958"</f>
        <v>958</v>
      </c>
      <c r="B962" t="str">
        <f t="shared" si="50"/>
        <v>102</v>
      </c>
      <c r="C962" t="str">
        <f t="shared" si="53"/>
        <v>39</v>
      </c>
      <c r="D962" t="str">
        <f>"21"</f>
        <v>21</v>
      </c>
      <c r="E962" t="str">
        <f>"102-39-21"</f>
        <v>102-39-21</v>
      </c>
      <c r="F962" t="s">
        <v>18</v>
      </c>
      <c r="G962" t="s">
        <v>20</v>
      </c>
      <c r="H962">
        <v>1</v>
      </c>
      <c r="K962">
        <v>0</v>
      </c>
      <c r="L962">
        <v>1</v>
      </c>
      <c r="M962">
        <v>0</v>
      </c>
      <c r="N962">
        <v>1</v>
      </c>
    </row>
    <row r="963" spans="1:16" x14ac:dyDescent="0.25">
      <c r="A963" t="str">
        <f>"959"</f>
        <v>959</v>
      </c>
      <c r="B963" t="str">
        <f t="shared" si="50"/>
        <v>102</v>
      </c>
      <c r="C963" t="str">
        <f t="shared" si="53"/>
        <v>39</v>
      </c>
      <c r="D963" t="str">
        <f>"13"</f>
        <v>13</v>
      </c>
      <c r="E963" t="str">
        <f>"102-39-13"</f>
        <v>102-39-13</v>
      </c>
      <c r="F963" t="s">
        <v>18</v>
      </c>
      <c r="G963" t="s">
        <v>20</v>
      </c>
      <c r="H963">
        <v>1</v>
      </c>
      <c r="K963">
        <v>0</v>
      </c>
      <c r="L963">
        <v>1</v>
      </c>
      <c r="M963">
        <v>0</v>
      </c>
      <c r="N963">
        <v>1</v>
      </c>
    </row>
    <row r="964" spans="1:16" x14ac:dyDescent="0.25">
      <c r="A964" t="str">
        <f>"960"</f>
        <v>960</v>
      </c>
      <c r="B964" t="str">
        <f t="shared" si="50"/>
        <v>102</v>
      </c>
      <c r="C964" t="str">
        <f t="shared" si="53"/>
        <v>39</v>
      </c>
      <c r="D964" t="str">
        <f>"6"</f>
        <v>6</v>
      </c>
      <c r="E964" t="str">
        <f>"102-39-6"</f>
        <v>102-39-6</v>
      </c>
      <c r="F964" t="s">
        <v>18</v>
      </c>
      <c r="G964" t="s">
        <v>20</v>
      </c>
      <c r="H964">
        <v>1</v>
      </c>
      <c r="K964">
        <v>1</v>
      </c>
      <c r="L964">
        <v>0</v>
      </c>
      <c r="M964">
        <v>1</v>
      </c>
      <c r="N964">
        <v>0</v>
      </c>
    </row>
    <row r="965" spans="1:16" x14ac:dyDescent="0.25">
      <c r="A965" t="str">
        <f>"961"</f>
        <v>961</v>
      </c>
      <c r="B965" t="str">
        <f t="shared" ref="B965:B1028" si="54">"102"</f>
        <v>102</v>
      </c>
      <c r="C965" t="str">
        <f t="shared" si="53"/>
        <v>39</v>
      </c>
      <c r="D965" t="str">
        <f>"22"</f>
        <v>22</v>
      </c>
      <c r="E965" t="str">
        <f>"102-39-22"</f>
        <v>102-39-22</v>
      </c>
      <c r="F965" t="s">
        <v>18</v>
      </c>
      <c r="G965" t="s">
        <v>19</v>
      </c>
      <c r="H965">
        <v>2</v>
      </c>
      <c r="I965">
        <v>0</v>
      </c>
      <c r="J965">
        <v>1</v>
      </c>
      <c r="K965">
        <v>1</v>
      </c>
      <c r="L965">
        <v>0</v>
      </c>
      <c r="M965">
        <v>0</v>
      </c>
      <c r="N965">
        <v>1</v>
      </c>
      <c r="O965">
        <v>1</v>
      </c>
      <c r="P965">
        <v>0</v>
      </c>
    </row>
    <row r="966" spans="1:16" x14ac:dyDescent="0.25">
      <c r="A966" t="str">
        <f>"962"</f>
        <v>962</v>
      </c>
      <c r="B966" t="str">
        <f t="shared" si="54"/>
        <v>102</v>
      </c>
      <c r="C966" t="str">
        <f t="shared" si="53"/>
        <v>39</v>
      </c>
      <c r="D966" t="str">
        <f>"14"</f>
        <v>14</v>
      </c>
      <c r="E966" t="str">
        <f>"102-39-14"</f>
        <v>102-39-14</v>
      </c>
      <c r="F966" t="s">
        <v>18</v>
      </c>
      <c r="G966" t="s">
        <v>20</v>
      </c>
      <c r="H966">
        <v>1</v>
      </c>
      <c r="K966">
        <v>1</v>
      </c>
      <c r="L966">
        <v>0</v>
      </c>
      <c r="M966">
        <v>1</v>
      </c>
      <c r="N966">
        <v>0</v>
      </c>
    </row>
    <row r="967" spans="1:16" x14ac:dyDescent="0.25">
      <c r="A967" t="str">
        <f>"963"</f>
        <v>963</v>
      </c>
      <c r="B967" t="str">
        <f t="shared" si="54"/>
        <v>102</v>
      </c>
      <c r="C967" t="str">
        <f t="shared" si="53"/>
        <v>39</v>
      </c>
      <c r="D967" t="str">
        <f>"8"</f>
        <v>8</v>
      </c>
      <c r="E967" t="str">
        <f>"102-39-8"</f>
        <v>102-39-8</v>
      </c>
      <c r="F967" t="s">
        <v>18</v>
      </c>
      <c r="G967" t="s">
        <v>20</v>
      </c>
      <c r="H967">
        <v>1</v>
      </c>
      <c r="K967">
        <v>0</v>
      </c>
      <c r="L967">
        <v>1</v>
      </c>
      <c r="M967">
        <v>0</v>
      </c>
      <c r="N967">
        <v>1</v>
      </c>
    </row>
    <row r="968" spans="1:16" x14ac:dyDescent="0.25">
      <c r="A968" t="str">
        <f>"964"</f>
        <v>964</v>
      </c>
      <c r="B968" t="str">
        <f t="shared" si="54"/>
        <v>102</v>
      </c>
      <c r="C968" t="str">
        <f t="shared" si="53"/>
        <v>39</v>
      </c>
      <c r="D968" t="str">
        <f>"15"</f>
        <v>15</v>
      </c>
      <c r="E968" t="str">
        <f>"102-39-15"</f>
        <v>102-39-15</v>
      </c>
      <c r="F968" t="s">
        <v>18</v>
      </c>
      <c r="G968" t="s">
        <v>20</v>
      </c>
      <c r="H968">
        <v>1</v>
      </c>
      <c r="K968">
        <v>0</v>
      </c>
      <c r="L968">
        <v>1</v>
      </c>
      <c r="M968">
        <v>0</v>
      </c>
      <c r="N968">
        <v>1</v>
      </c>
    </row>
    <row r="969" spans="1:16" x14ac:dyDescent="0.25">
      <c r="A969" t="str">
        <f>"965"</f>
        <v>965</v>
      </c>
      <c r="B969" t="str">
        <f t="shared" si="54"/>
        <v>102</v>
      </c>
      <c r="C969" t="str">
        <f t="shared" si="53"/>
        <v>39</v>
      </c>
      <c r="D969" t="str">
        <f>"5"</f>
        <v>5</v>
      </c>
      <c r="E969" t="str">
        <f>"102-39-5"</f>
        <v>102-39-5</v>
      </c>
      <c r="F969" t="s">
        <v>18</v>
      </c>
      <c r="G969" t="s">
        <v>20</v>
      </c>
      <c r="H969">
        <v>1</v>
      </c>
      <c r="K969">
        <v>0</v>
      </c>
      <c r="L969">
        <v>1</v>
      </c>
      <c r="M969">
        <v>0</v>
      </c>
      <c r="N969">
        <v>1</v>
      </c>
    </row>
    <row r="970" spans="1:16" x14ac:dyDescent="0.25">
      <c r="A970" t="str">
        <f>"966"</f>
        <v>966</v>
      </c>
      <c r="B970" t="str">
        <f t="shared" si="54"/>
        <v>102</v>
      </c>
      <c r="C970" t="str">
        <f t="shared" si="53"/>
        <v>39</v>
      </c>
      <c r="D970" t="str">
        <f>"16"</f>
        <v>16</v>
      </c>
      <c r="E970" t="str">
        <f>"102-39-16"</f>
        <v>102-39-16</v>
      </c>
      <c r="F970" t="s">
        <v>18</v>
      </c>
      <c r="G970" t="s">
        <v>20</v>
      </c>
      <c r="H970">
        <v>1</v>
      </c>
      <c r="K970">
        <v>0</v>
      </c>
      <c r="L970">
        <v>1</v>
      </c>
      <c r="M970">
        <v>0</v>
      </c>
      <c r="N970">
        <v>1</v>
      </c>
    </row>
    <row r="971" spans="1:16" x14ac:dyDescent="0.25">
      <c r="A971" t="str">
        <f>"967"</f>
        <v>967</v>
      </c>
      <c r="B971" t="str">
        <f t="shared" si="54"/>
        <v>102</v>
      </c>
      <c r="C971" t="str">
        <f t="shared" si="53"/>
        <v>39</v>
      </c>
      <c r="D971" t="str">
        <f>"3"</f>
        <v>3</v>
      </c>
      <c r="E971" t="str">
        <f>"102-39-3"</f>
        <v>102-39-3</v>
      </c>
      <c r="F971" t="s">
        <v>18</v>
      </c>
      <c r="G971" t="s">
        <v>20</v>
      </c>
      <c r="H971">
        <v>1</v>
      </c>
      <c r="K971">
        <v>1</v>
      </c>
      <c r="L971">
        <v>0</v>
      </c>
      <c r="M971">
        <v>1</v>
      </c>
      <c r="N971">
        <v>0</v>
      </c>
    </row>
    <row r="972" spans="1:16" x14ac:dyDescent="0.25">
      <c r="A972" t="str">
        <f>"968"</f>
        <v>968</v>
      </c>
      <c r="B972" t="str">
        <f t="shared" si="54"/>
        <v>102</v>
      </c>
      <c r="C972" t="str">
        <f t="shared" si="53"/>
        <v>39</v>
      </c>
      <c r="D972" t="str">
        <f>"17"</f>
        <v>17</v>
      </c>
      <c r="E972" t="str">
        <f>"102-39-17"</f>
        <v>102-39-17</v>
      </c>
      <c r="F972" t="s">
        <v>18</v>
      </c>
      <c r="G972" t="s">
        <v>20</v>
      </c>
      <c r="H972">
        <v>1</v>
      </c>
      <c r="K972">
        <v>0</v>
      </c>
      <c r="L972">
        <v>1</v>
      </c>
      <c r="M972">
        <v>0</v>
      </c>
      <c r="N972">
        <v>1</v>
      </c>
    </row>
    <row r="973" spans="1:16" x14ac:dyDescent="0.25">
      <c r="A973" t="str">
        <f>"969"</f>
        <v>969</v>
      </c>
      <c r="B973" t="str">
        <f t="shared" si="54"/>
        <v>102</v>
      </c>
      <c r="C973" t="str">
        <f t="shared" si="53"/>
        <v>39</v>
      </c>
      <c r="D973" t="str">
        <f>"4"</f>
        <v>4</v>
      </c>
      <c r="E973" t="str">
        <f>"102-39-4"</f>
        <v>102-39-4</v>
      </c>
      <c r="F973" t="s">
        <v>18</v>
      </c>
      <c r="G973" t="s">
        <v>20</v>
      </c>
      <c r="H973">
        <v>1</v>
      </c>
      <c r="K973">
        <v>0</v>
      </c>
      <c r="L973">
        <v>1</v>
      </c>
      <c r="M973">
        <v>0</v>
      </c>
      <c r="N973">
        <v>1</v>
      </c>
    </row>
    <row r="974" spans="1:16" x14ac:dyDescent="0.25">
      <c r="A974" t="str">
        <f>"970"</f>
        <v>970</v>
      </c>
      <c r="B974" t="str">
        <f t="shared" si="54"/>
        <v>102</v>
      </c>
      <c r="C974" t="str">
        <f t="shared" si="53"/>
        <v>39</v>
      </c>
      <c r="D974" t="str">
        <f>"18"</f>
        <v>18</v>
      </c>
      <c r="E974" t="str">
        <f>"102-39-18"</f>
        <v>102-39-18</v>
      </c>
      <c r="F974" t="s">
        <v>18</v>
      </c>
      <c r="G974" t="s">
        <v>20</v>
      </c>
      <c r="H974">
        <v>1</v>
      </c>
      <c r="K974">
        <v>1</v>
      </c>
      <c r="L974">
        <v>0</v>
      </c>
      <c r="M974">
        <v>0</v>
      </c>
      <c r="N974">
        <v>1</v>
      </c>
    </row>
    <row r="975" spans="1:16" x14ac:dyDescent="0.25">
      <c r="A975" t="str">
        <f>"971"</f>
        <v>971</v>
      </c>
      <c r="B975" t="str">
        <f t="shared" si="54"/>
        <v>102</v>
      </c>
      <c r="C975" t="str">
        <f t="shared" si="53"/>
        <v>39</v>
      </c>
      <c r="D975" t="str">
        <f>"7"</f>
        <v>7</v>
      </c>
      <c r="E975" t="str">
        <f>"102-39-7"</f>
        <v>102-39-7</v>
      </c>
      <c r="F975" t="s">
        <v>18</v>
      </c>
      <c r="G975" t="s">
        <v>20</v>
      </c>
      <c r="H975">
        <v>1</v>
      </c>
      <c r="K975">
        <v>1</v>
      </c>
      <c r="L975">
        <v>0</v>
      </c>
      <c r="M975">
        <v>1</v>
      </c>
      <c r="N975">
        <v>0</v>
      </c>
    </row>
    <row r="976" spans="1:16" x14ac:dyDescent="0.25">
      <c r="A976" t="str">
        <f>"972"</f>
        <v>972</v>
      </c>
      <c r="B976" t="str">
        <f t="shared" si="54"/>
        <v>102</v>
      </c>
      <c r="C976" t="str">
        <f t="shared" si="53"/>
        <v>39</v>
      </c>
      <c r="D976" t="str">
        <f>"19"</f>
        <v>19</v>
      </c>
      <c r="E976" t="str">
        <f>"102-39-19"</f>
        <v>102-39-19</v>
      </c>
      <c r="F976" t="s">
        <v>18</v>
      </c>
      <c r="G976" t="s">
        <v>20</v>
      </c>
      <c r="H976">
        <v>1</v>
      </c>
      <c r="K976">
        <v>1</v>
      </c>
      <c r="L976">
        <v>0</v>
      </c>
      <c r="M976">
        <v>1</v>
      </c>
      <c r="N976">
        <v>0</v>
      </c>
    </row>
    <row r="977" spans="1:16" x14ac:dyDescent="0.25">
      <c r="A977" t="str">
        <f>"973"</f>
        <v>973</v>
      </c>
      <c r="B977" t="str">
        <f t="shared" si="54"/>
        <v>102</v>
      </c>
      <c r="C977" t="str">
        <f t="shared" si="53"/>
        <v>39</v>
      </c>
      <c r="D977" t="str">
        <f>"9"</f>
        <v>9</v>
      </c>
      <c r="E977" t="str">
        <f>"102-39-9"</f>
        <v>102-39-9</v>
      </c>
      <c r="F977" t="s">
        <v>18</v>
      </c>
      <c r="G977" t="s">
        <v>20</v>
      </c>
      <c r="H977">
        <v>1</v>
      </c>
      <c r="K977">
        <v>1</v>
      </c>
      <c r="L977">
        <v>0</v>
      </c>
      <c r="M977">
        <v>1</v>
      </c>
      <c r="N977">
        <v>0</v>
      </c>
    </row>
    <row r="978" spans="1:16" x14ac:dyDescent="0.25">
      <c r="A978" t="str">
        <f>"974"</f>
        <v>974</v>
      </c>
      <c r="B978" t="str">
        <f t="shared" si="54"/>
        <v>102</v>
      </c>
      <c r="C978" t="str">
        <f t="shared" si="53"/>
        <v>39</v>
      </c>
      <c r="D978" t="str">
        <f>"23"</f>
        <v>23</v>
      </c>
      <c r="E978" t="str">
        <f>"102-39-23"</f>
        <v>102-39-23</v>
      </c>
      <c r="F978" t="s">
        <v>18</v>
      </c>
      <c r="G978" t="s">
        <v>20</v>
      </c>
      <c r="H978">
        <v>1</v>
      </c>
      <c r="K978">
        <v>0</v>
      </c>
      <c r="L978">
        <v>1</v>
      </c>
      <c r="M978">
        <v>0</v>
      </c>
      <c r="N978">
        <v>1</v>
      </c>
    </row>
    <row r="979" spans="1:16" x14ac:dyDescent="0.25">
      <c r="A979" t="str">
        <f>"975"</f>
        <v>975</v>
      </c>
      <c r="B979" t="str">
        <f t="shared" si="54"/>
        <v>102</v>
      </c>
      <c r="C979" t="str">
        <f t="shared" si="53"/>
        <v>39</v>
      </c>
      <c r="D979" t="str">
        <f>"10"</f>
        <v>10</v>
      </c>
      <c r="E979" t="str">
        <f>"102-39-10"</f>
        <v>102-39-10</v>
      </c>
      <c r="F979" t="s">
        <v>18</v>
      </c>
      <c r="G979" t="s">
        <v>19</v>
      </c>
      <c r="H979">
        <v>2</v>
      </c>
      <c r="I979">
        <v>1</v>
      </c>
      <c r="J979">
        <v>1</v>
      </c>
      <c r="K979">
        <v>0</v>
      </c>
      <c r="L979">
        <v>1</v>
      </c>
      <c r="M979">
        <v>0</v>
      </c>
      <c r="N979">
        <v>1</v>
      </c>
      <c r="O979">
        <v>1</v>
      </c>
      <c r="P979">
        <v>0</v>
      </c>
    </row>
    <row r="980" spans="1:16" x14ac:dyDescent="0.25">
      <c r="A980" t="str">
        <f>"976"</f>
        <v>976</v>
      </c>
      <c r="B980" t="str">
        <f t="shared" si="54"/>
        <v>102</v>
      </c>
      <c r="C980" t="str">
        <f t="shared" ref="C980:C1004" si="55">"40"</f>
        <v>40</v>
      </c>
      <c r="D980" t="str">
        <f>"23"</f>
        <v>23</v>
      </c>
      <c r="E980" t="str">
        <f>"102-40-23"</f>
        <v>102-40-23</v>
      </c>
      <c r="F980" t="s">
        <v>18</v>
      </c>
      <c r="G980" t="s">
        <v>20</v>
      </c>
      <c r="H980">
        <v>1</v>
      </c>
      <c r="K980">
        <v>0</v>
      </c>
      <c r="L980">
        <v>1</v>
      </c>
      <c r="M980">
        <v>0</v>
      </c>
      <c r="N980">
        <v>1</v>
      </c>
    </row>
    <row r="981" spans="1:16" x14ac:dyDescent="0.25">
      <c r="A981" t="str">
        <f>"977"</f>
        <v>977</v>
      </c>
      <c r="B981" t="str">
        <f t="shared" si="54"/>
        <v>102</v>
      </c>
      <c r="C981" t="str">
        <f t="shared" si="55"/>
        <v>40</v>
      </c>
      <c r="D981" t="str">
        <f>"11"</f>
        <v>11</v>
      </c>
      <c r="E981" t="str">
        <f>"102-40-11"</f>
        <v>102-40-11</v>
      </c>
      <c r="F981" t="s">
        <v>18</v>
      </c>
      <c r="G981" t="s">
        <v>20</v>
      </c>
      <c r="H981">
        <v>1</v>
      </c>
      <c r="K981">
        <v>0</v>
      </c>
      <c r="L981">
        <v>1</v>
      </c>
      <c r="M981">
        <v>0</v>
      </c>
      <c r="N981">
        <v>1</v>
      </c>
    </row>
    <row r="982" spans="1:16" x14ac:dyDescent="0.25">
      <c r="A982" t="str">
        <f>"978"</f>
        <v>978</v>
      </c>
      <c r="B982" t="str">
        <f t="shared" si="54"/>
        <v>102</v>
      </c>
      <c r="C982" t="str">
        <f t="shared" si="55"/>
        <v>40</v>
      </c>
      <c r="D982" t="str">
        <f>"1"</f>
        <v>1</v>
      </c>
      <c r="E982" t="str">
        <f>"102-40-1"</f>
        <v>102-40-1</v>
      </c>
      <c r="F982" t="s">
        <v>18</v>
      </c>
      <c r="G982" t="s">
        <v>20</v>
      </c>
      <c r="H982">
        <v>1</v>
      </c>
      <c r="K982">
        <v>1</v>
      </c>
      <c r="L982">
        <v>0</v>
      </c>
      <c r="M982">
        <v>1</v>
      </c>
      <c r="N982">
        <v>0</v>
      </c>
    </row>
    <row r="983" spans="1:16" x14ac:dyDescent="0.25">
      <c r="A983" t="str">
        <f>"979"</f>
        <v>979</v>
      </c>
      <c r="B983" t="str">
        <f t="shared" si="54"/>
        <v>102</v>
      </c>
      <c r="C983" t="str">
        <f t="shared" si="55"/>
        <v>40</v>
      </c>
      <c r="D983" t="str">
        <f>"22"</f>
        <v>22</v>
      </c>
      <c r="E983" t="str">
        <f>"102-40-22"</f>
        <v>102-40-22</v>
      </c>
      <c r="F983" t="s">
        <v>18</v>
      </c>
      <c r="G983" t="s">
        <v>20</v>
      </c>
      <c r="H983">
        <v>1</v>
      </c>
      <c r="K983">
        <v>0</v>
      </c>
      <c r="L983">
        <v>1</v>
      </c>
      <c r="M983">
        <v>0</v>
      </c>
      <c r="N983">
        <v>1</v>
      </c>
    </row>
    <row r="984" spans="1:16" x14ac:dyDescent="0.25">
      <c r="A984" t="str">
        <f>"980"</f>
        <v>980</v>
      </c>
      <c r="B984" t="str">
        <f t="shared" si="54"/>
        <v>102</v>
      </c>
      <c r="C984" t="str">
        <f t="shared" si="55"/>
        <v>40</v>
      </c>
      <c r="D984" t="str">
        <f>"12"</f>
        <v>12</v>
      </c>
      <c r="E984" t="str">
        <f>"102-40-12"</f>
        <v>102-40-12</v>
      </c>
      <c r="F984" t="s">
        <v>18</v>
      </c>
      <c r="G984" t="s">
        <v>20</v>
      </c>
      <c r="H984">
        <v>1</v>
      </c>
      <c r="K984">
        <v>0</v>
      </c>
      <c r="L984">
        <v>1</v>
      </c>
      <c r="M984">
        <v>0</v>
      </c>
      <c r="N984">
        <v>1</v>
      </c>
    </row>
    <row r="985" spans="1:16" x14ac:dyDescent="0.25">
      <c r="A985" t="str">
        <f>"981"</f>
        <v>981</v>
      </c>
      <c r="B985" t="str">
        <f t="shared" si="54"/>
        <v>102</v>
      </c>
      <c r="C985" t="str">
        <f t="shared" si="55"/>
        <v>40</v>
      </c>
      <c r="D985" t="str">
        <f>"2"</f>
        <v>2</v>
      </c>
      <c r="E985" t="str">
        <f>"102-40-2"</f>
        <v>102-40-2</v>
      </c>
      <c r="F985" t="s">
        <v>18</v>
      </c>
      <c r="G985" t="s">
        <v>20</v>
      </c>
      <c r="H985">
        <v>1</v>
      </c>
      <c r="K985">
        <v>1</v>
      </c>
      <c r="L985">
        <v>0</v>
      </c>
      <c r="M985">
        <v>0</v>
      </c>
      <c r="N985">
        <v>1</v>
      </c>
    </row>
    <row r="986" spans="1:16" x14ac:dyDescent="0.25">
      <c r="A986" t="str">
        <f>"982"</f>
        <v>982</v>
      </c>
      <c r="B986" t="str">
        <f t="shared" si="54"/>
        <v>102</v>
      </c>
      <c r="C986" t="str">
        <f t="shared" si="55"/>
        <v>40</v>
      </c>
      <c r="D986" t="str">
        <f>"25"</f>
        <v>25</v>
      </c>
      <c r="E986" t="str">
        <f>"102-40-25"</f>
        <v>102-40-25</v>
      </c>
      <c r="F986" t="s">
        <v>18</v>
      </c>
      <c r="G986" t="s">
        <v>20</v>
      </c>
      <c r="H986">
        <v>1</v>
      </c>
      <c r="K986">
        <v>1</v>
      </c>
      <c r="L986">
        <v>0</v>
      </c>
      <c r="M986">
        <v>1</v>
      </c>
      <c r="N986">
        <v>0</v>
      </c>
    </row>
    <row r="987" spans="1:16" x14ac:dyDescent="0.25">
      <c r="A987" t="str">
        <f>"983"</f>
        <v>983</v>
      </c>
      <c r="B987" t="str">
        <f t="shared" si="54"/>
        <v>102</v>
      </c>
      <c r="C987" t="str">
        <f t="shared" si="55"/>
        <v>40</v>
      </c>
      <c r="D987" t="str">
        <f>"13"</f>
        <v>13</v>
      </c>
      <c r="E987" t="str">
        <f>"102-40-13"</f>
        <v>102-40-13</v>
      </c>
      <c r="F987" t="s">
        <v>18</v>
      </c>
      <c r="G987" t="s">
        <v>20</v>
      </c>
      <c r="H987">
        <v>1</v>
      </c>
      <c r="K987">
        <v>0</v>
      </c>
      <c r="L987">
        <v>1</v>
      </c>
      <c r="M987">
        <v>0</v>
      </c>
      <c r="N987">
        <v>1</v>
      </c>
    </row>
    <row r="988" spans="1:16" x14ac:dyDescent="0.25">
      <c r="A988" t="str">
        <f>"984"</f>
        <v>984</v>
      </c>
      <c r="B988" t="str">
        <f t="shared" si="54"/>
        <v>102</v>
      </c>
      <c r="C988" t="str">
        <f t="shared" si="55"/>
        <v>40</v>
      </c>
      <c r="D988" t="str">
        <f>"8"</f>
        <v>8</v>
      </c>
      <c r="E988" t="str">
        <f>"102-40-8"</f>
        <v>102-40-8</v>
      </c>
      <c r="F988" t="s">
        <v>18</v>
      </c>
      <c r="G988" t="s">
        <v>20</v>
      </c>
      <c r="H988">
        <v>1</v>
      </c>
      <c r="K988">
        <v>0</v>
      </c>
      <c r="L988">
        <v>1</v>
      </c>
      <c r="M988">
        <v>0</v>
      </c>
      <c r="N988">
        <v>1</v>
      </c>
    </row>
    <row r="989" spans="1:16" x14ac:dyDescent="0.25">
      <c r="A989" t="str">
        <f>"985"</f>
        <v>985</v>
      </c>
      <c r="B989" t="str">
        <f t="shared" si="54"/>
        <v>102</v>
      </c>
      <c r="C989" t="str">
        <f t="shared" si="55"/>
        <v>40</v>
      </c>
      <c r="D989" t="str">
        <f>"21"</f>
        <v>21</v>
      </c>
      <c r="E989" t="str">
        <f>"102-40-21"</f>
        <v>102-40-21</v>
      </c>
      <c r="F989" t="s">
        <v>18</v>
      </c>
      <c r="G989" t="s">
        <v>20</v>
      </c>
      <c r="H989">
        <v>1</v>
      </c>
      <c r="K989">
        <v>0</v>
      </c>
      <c r="L989">
        <v>1</v>
      </c>
      <c r="M989">
        <v>0</v>
      </c>
      <c r="N989">
        <v>1</v>
      </c>
    </row>
    <row r="990" spans="1:16" x14ac:dyDescent="0.25">
      <c r="A990" t="str">
        <f>"986"</f>
        <v>986</v>
      </c>
      <c r="B990" t="str">
        <f t="shared" si="54"/>
        <v>102</v>
      </c>
      <c r="C990" t="str">
        <f t="shared" si="55"/>
        <v>40</v>
      </c>
      <c r="D990" t="str">
        <f>"14"</f>
        <v>14</v>
      </c>
      <c r="E990" t="str">
        <f>"102-40-14"</f>
        <v>102-40-14</v>
      </c>
      <c r="F990" t="s">
        <v>18</v>
      </c>
      <c r="G990" t="s">
        <v>20</v>
      </c>
      <c r="H990">
        <v>1</v>
      </c>
      <c r="K990">
        <v>0</v>
      </c>
      <c r="L990">
        <v>1</v>
      </c>
      <c r="M990">
        <v>0</v>
      </c>
      <c r="N990">
        <v>1</v>
      </c>
    </row>
    <row r="991" spans="1:16" x14ac:dyDescent="0.25">
      <c r="A991" t="str">
        <f>"987"</f>
        <v>987</v>
      </c>
      <c r="B991" t="str">
        <f t="shared" si="54"/>
        <v>102</v>
      </c>
      <c r="C991" t="str">
        <f t="shared" si="55"/>
        <v>40</v>
      </c>
      <c r="D991" t="str">
        <f>"10"</f>
        <v>10</v>
      </c>
      <c r="E991" t="str">
        <f>"102-40-10"</f>
        <v>102-40-10</v>
      </c>
      <c r="F991" t="s">
        <v>18</v>
      </c>
      <c r="G991" t="s">
        <v>20</v>
      </c>
      <c r="H991">
        <v>1</v>
      </c>
      <c r="K991">
        <v>0</v>
      </c>
      <c r="L991">
        <v>1</v>
      </c>
      <c r="M991">
        <v>0</v>
      </c>
      <c r="N991">
        <v>1</v>
      </c>
    </row>
    <row r="992" spans="1:16" x14ac:dyDescent="0.25">
      <c r="A992" t="str">
        <f>"988"</f>
        <v>988</v>
      </c>
      <c r="B992" t="str">
        <f t="shared" si="54"/>
        <v>102</v>
      </c>
      <c r="C992" t="str">
        <f t="shared" si="55"/>
        <v>40</v>
      </c>
      <c r="D992" t="str">
        <f>"15"</f>
        <v>15</v>
      </c>
      <c r="E992" t="str">
        <f>"102-40-15"</f>
        <v>102-40-15</v>
      </c>
      <c r="F992" t="s">
        <v>18</v>
      </c>
      <c r="G992" t="s">
        <v>19</v>
      </c>
      <c r="H992">
        <v>2</v>
      </c>
      <c r="I992">
        <v>1</v>
      </c>
      <c r="J992">
        <v>1</v>
      </c>
      <c r="K992">
        <v>1</v>
      </c>
      <c r="L992">
        <v>0</v>
      </c>
      <c r="M992">
        <v>0</v>
      </c>
      <c r="N992">
        <v>1</v>
      </c>
      <c r="O992">
        <v>1</v>
      </c>
      <c r="P992">
        <v>0</v>
      </c>
    </row>
    <row r="993" spans="1:16" x14ac:dyDescent="0.25">
      <c r="A993" t="str">
        <f>"989"</f>
        <v>989</v>
      </c>
      <c r="B993" t="str">
        <f t="shared" si="54"/>
        <v>102</v>
      </c>
      <c r="C993" t="str">
        <f t="shared" si="55"/>
        <v>40</v>
      </c>
      <c r="D993" t="str">
        <f>"9"</f>
        <v>9</v>
      </c>
      <c r="E993" t="str">
        <f>"102-40-9"</f>
        <v>102-40-9</v>
      </c>
      <c r="F993" t="s">
        <v>18</v>
      </c>
      <c r="G993" t="s">
        <v>20</v>
      </c>
      <c r="H993">
        <v>1</v>
      </c>
      <c r="K993">
        <v>0</v>
      </c>
      <c r="L993">
        <v>1</v>
      </c>
      <c r="M993">
        <v>0</v>
      </c>
      <c r="N993">
        <v>1</v>
      </c>
    </row>
    <row r="994" spans="1:16" x14ac:dyDescent="0.25">
      <c r="A994" t="str">
        <f>"990"</f>
        <v>990</v>
      </c>
      <c r="B994" t="str">
        <f t="shared" si="54"/>
        <v>102</v>
      </c>
      <c r="C994" t="str">
        <f t="shared" si="55"/>
        <v>40</v>
      </c>
      <c r="D994" t="str">
        <f>"16"</f>
        <v>16</v>
      </c>
      <c r="E994" t="str">
        <f>"102-40-16"</f>
        <v>102-40-16</v>
      </c>
      <c r="F994" t="s">
        <v>18</v>
      </c>
      <c r="G994" t="s">
        <v>20</v>
      </c>
      <c r="H994">
        <v>1</v>
      </c>
      <c r="K994">
        <v>0</v>
      </c>
      <c r="L994">
        <v>1</v>
      </c>
      <c r="M994">
        <v>0</v>
      </c>
      <c r="N994">
        <v>1</v>
      </c>
    </row>
    <row r="995" spans="1:16" x14ac:dyDescent="0.25">
      <c r="A995" t="str">
        <f>"991"</f>
        <v>991</v>
      </c>
      <c r="B995" t="str">
        <f t="shared" si="54"/>
        <v>102</v>
      </c>
      <c r="C995" t="str">
        <f t="shared" si="55"/>
        <v>40</v>
      </c>
      <c r="D995" t="str">
        <f>"6"</f>
        <v>6</v>
      </c>
      <c r="E995" t="str">
        <f>"102-40-6"</f>
        <v>102-40-6</v>
      </c>
      <c r="F995" t="s">
        <v>18</v>
      </c>
      <c r="G995" t="s">
        <v>20</v>
      </c>
      <c r="H995">
        <v>1</v>
      </c>
      <c r="K995">
        <v>1</v>
      </c>
      <c r="L995">
        <v>0</v>
      </c>
      <c r="M995">
        <v>1</v>
      </c>
      <c r="N995">
        <v>0</v>
      </c>
    </row>
    <row r="996" spans="1:16" x14ac:dyDescent="0.25">
      <c r="A996" t="str">
        <f>"992"</f>
        <v>992</v>
      </c>
      <c r="B996" t="str">
        <f t="shared" si="54"/>
        <v>102</v>
      </c>
      <c r="C996" t="str">
        <f t="shared" si="55"/>
        <v>40</v>
      </c>
      <c r="D996" t="str">
        <f>"17"</f>
        <v>17</v>
      </c>
      <c r="E996" t="str">
        <f>"102-40-17"</f>
        <v>102-40-17</v>
      </c>
      <c r="F996" t="s">
        <v>18</v>
      </c>
      <c r="G996" t="s">
        <v>20</v>
      </c>
      <c r="H996">
        <v>1</v>
      </c>
      <c r="K996">
        <v>0</v>
      </c>
      <c r="L996">
        <v>1</v>
      </c>
      <c r="M996">
        <v>0</v>
      </c>
      <c r="N996">
        <v>1</v>
      </c>
    </row>
    <row r="997" spans="1:16" x14ac:dyDescent="0.25">
      <c r="A997" t="str">
        <f>"993"</f>
        <v>993</v>
      </c>
      <c r="B997" t="str">
        <f t="shared" si="54"/>
        <v>102</v>
      </c>
      <c r="C997" t="str">
        <f t="shared" si="55"/>
        <v>40</v>
      </c>
      <c r="D997" t="str">
        <f>"4"</f>
        <v>4</v>
      </c>
      <c r="E997" t="str">
        <f>"102-40-4"</f>
        <v>102-40-4</v>
      </c>
      <c r="F997" t="s">
        <v>18</v>
      </c>
      <c r="G997" t="s">
        <v>20</v>
      </c>
      <c r="H997">
        <v>1</v>
      </c>
      <c r="K997">
        <v>0</v>
      </c>
      <c r="L997">
        <v>1</v>
      </c>
      <c r="M997">
        <v>0</v>
      </c>
      <c r="N997">
        <v>1</v>
      </c>
    </row>
    <row r="998" spans="1:16" x14ac:dyDescent="0.25">
      <c r="A998" t="str">
        <f>"994"</f>
        <v>994</v>
      </c>
      <c r="B998" t="str">
        <f t="shared" si="54"/>
        <v>102</v>
      </c>
      <c r="C998" t="str">
        <f t="shared" si="55"/>
        <v>40</v>
      </c>
      <c r="D998" t="str">
        <f>"18"</f>
        <v>18</v>
      </c>
      <c r="E998" t="str">
        <f>"102-40-18"</f>
        <v>102-40-18</v>
      </c>
      <c r="F998" t="s">
        <v>18</v>
      </c>
      <c r="G998" t="s">
        <v>20</v>
      </c>
      <c r="H998">
        <v>1</v>
      </c>
      <c r="K998">
        <v>0</v>
      </c>
      <c r="L998">
        <v>1</v>
      </c>
      <c r="M998">
        <v>0</v>
      </c>
      <c r="N998">
        <v>1</v>
      </c>
    </row>
    <row r="999" spans="1:16" x14ac:dyDescent="0.25">
      <c r="A999" t="str">
        <f>"995"</f>
        <v>995</v>
      </c>
      <c r="B999" t="str">
        <f t="shared" si="54"/>
        <v>102</v>
      </c>
      <c r="C999" t="str">
        <f t="shared" si="55"/>
        <v>40</v>
      </c>
      <c r="D999" t="str">
        <f>"7"</f>
        <v>7</v>
      </c>
      <c r="E999" t="str">
        <f>"102-40-7"</f>
        <v>102-40-7</v>
      </c>
      <c r="F999" t="s">
        <v>18</v>
      </c>
      <c r="G999" t="s">
        <v>20</v>
      </c>
      <c r="H999">
        <v>1</v>
      </c>
      <c r="K999">
        <v>0</v>
      </c>
      <c r="L999">
        <v>1</v>
      </c>
      <c r="M999">
        <v>0</v>
      </c>
      <c r="N999">
        <v>1</v>
      </c>
    </row>
    <row r="1000" spans="1:16" x14ac:dyDescent="0.25">
      <c r="A1000" t="str">
        <f>"996"</f>
        <v>996</v>
      </c>
      <c r="B1000" t="str">
        <f t="shared" si="54"/>
        <v>102</v>
      </c>
      <c r="C1000" t="str">
        <f t="shared" si="55"/>
        <v>40</v>
      </c>
      <c r="D1000" t="str">
        <f>"19"</f>
        <v>19</v>
      </c>
      <c r="E1000" t="str">
        <f>"102-40-19"</f>
        <v>102-40-19</v>
      </c>
      <c r="F1000" t="s">
        <v>18</v>
      </c>
      <c r="G1000" t="s">
        <v>20</v>
      </c>
      <c r="H1000">
        <v>1</v>
      </c>
      <c r="K1000">
        <v>1</v>
      </c>
      <c r="L1000">
        <v>0</v>
      </c>
      <c r="M1000">
        <v>1</v>
      </c>
      <c r="N1000">
        <v>0</v>
      </c>
    </row>
    <row r="1001" spans="1:16" x14ac:dyDescent="0.25">
      <c r="A1001" t="str">
        <f>"997"</f>
        <v>997</v>
      </c>
      <c r="B1001" t="str">
        <f t="shared" si="54"/>
        <v>102</v>
      </c>
      <c r="C1001" t="str">
        <f t="shared" si="55"/>
        <v>40</v>
      </c>
      <c r="D1001" t="str">
        <f>"3"</f>
        <v>3</v>
      </c>
      <c r="E1001" t="str">
        <f>"102-40-3"</f>
        <v>102-40-3</v>
      </c>
      <c r="F1001" t="s">
        <v>18</v>
      </c>
      <c r="G1001" t="s">
        <v>20</v>
      </c>
      <c r="H1001">
        <v>1</v>
      </c>
      <c r="K1001">
        <v>0</v>
      </c>
      <c r="L1001">
        <v>1</v>
      </c>
      <c r="M1001">
        <v>0</v>
      </c>
      <c r="N1001">
        <v>1</v>
      </c>
    </row>
    <row r="1002" spans="1:16" x14ac:dyDescent="0.25">
      <c r="A1002" t="str">
        <f>"998"</f>
        <v>998</v>
      </c>
      <c r="B1002" t="str">
        <f t="shared" si="54"/>
        <v>102</v>
      </c>
      <c r="C1002" t="str">
        <f t="shared" si="55"/>
        <v>40</v>
      </c>
      <c r="D1002" t="str">
        <f>"24"</f>
        <v>24</v>
      </c>
      <c r="E1002" t="str">
        <f>"102-40-24"</f>
        <v>102-40-24</v>
      </c>
      <c r="F1002" t="s">
        <v>18</v>
      </c>
      <c r="G1002" t="s">
        <v>20</v>
      </c>
      <c r="H1002">
        <v>1</v>
      </c>
      <c r="K1002">
        <v>1</v>
      </c>
      <c r="L1002">
        <v>0</v>
      </c>
      <c r="M1002">
        <v>1</v>
      </c>
      <c r="N1002">
        <v>0</v>
      </c>
    </row>
    <row r="1003" spans="1:16" x14ac:dyDescent="0.25">
      <c r="A1003" t="str">
        <f>"999"</f>
        <v>999</v>
      </c>
      <c r="B1003" t="str">
        <f t="shared" si="54"/>
        <v>102</v>
      </c>
      <c r="C1003" t="str">
        <f t="shared" si="55"/>
        <v>40</v>
      </c>
      <c r="D1003" t="str">
        <f>"20"</f>
        <v>20</v>
      </c>
      <c r="E1003" t="str">
        <f>"102-40-20"</f>
        <v>102-40-20</v>
      </c>
      <c r="F1003" t="s">
        <v>18</v>
      </c>
      <c r="G1003" t="s">
        <v>20</v>
      </c>
      <c r="H1003">
        <v>1</v>
      </c>
      <c r="K1003">
        <v>0</v>
      </c>
      <c r="L1003">
        <v>1</v>
      </c>
      <c r="M1003">
        <v>0</v>
      </c>
      <c r="N1003">
        <v>1</v>
      </c>
    </row>
    <row r="1004" spans="1:16" x14ac:dyDescent="0.25">
      <c r="A1004" t="str">
        <f>"1000"</f>
        <v>1000</v>
      </c>
      <c r="B1004" t="str">
        <f t="shared" si="54"/>
        <v>102</v>
      </c>
      <c r="C1004" t="str">
        <f t="shared" si="55"/>
        <v>40</v>
      </c>
      <c r="D1004" t="str">
        <f>"5"</f>
        <v>5</v>
      </c>
      <c r="E1004" t="str">
        <f>"102-40-5"</f>
        <v>102-40-5</v>
      </c>
      <c r="F1004" t="s">
        <v>18</v>
      </c>
      <c r="G1004" t="s">
        <v>20</v>
      </c>
      <c r="H1004">
        <v>1</v>
      </c>
      <c r="K1004">
        <v>0</v>
      </c>
      <c r="L1004">
        <v>1</v>
      </c>
      <c r="M1004">
        <v>0</v>
      </c>
      <c r="N1004">
        <v>1</v>
      </c>
    </row>
    <row r="1005" spans="1:16" x14ac:dyDescent="0.25">
      <c r="A1005" t="str">
        <f>"1001"</f>
        <v>1001</v>
      </c>
      <c r="B1005" t="str">
        <f t="shared" si="54"/>
        <v>102</v>
      </c>
      <c r="C1005" t="str">
        <f t="shared" ref="C1005:C1029" si="56">"41"</f>
        <v>41</v>
      </c>
      <c r="D1005" t="str">
        <f>"22"</f>
        <v>22</v>
      </c>
      <c r="E1005" t="str">
        <f>"102-41-22"</f>
        <v>102-41-22</v>
      </c>
      <c r="F1005" t="s">
        <v>18</v>
      </c>
      <c r="G1005" t="s">
        <v>19</v>
      </c>
      <c r="H1005">
        <v>2</v>
      </c>
      <c r="I1005">
        <v>0</v>
      </c>
      <c r="J1005">
        <v>1</v>
      </c>
      <c r="K1005">
        <v>1</v>
      </c>
      <c r="L1005">
        <v>0</v>
      </c>
      <c r="M1005">
        <v>1</v>
      </c>
      <c r="N1005">
        <v>0</v>
      </c>
      <c r="O1005">
        <v>1</v>
      </c>
      <c r="P1005">
        <v>0</v>
      </c>
    </row>
    <row r="1006" spans="1:16" x14ac:dyDescent="0.25">
      <c r="A1006" t="str">
        <f>"1002"</f>
        <v>1002</v>
      </c>
      <c r="B1006" t="str">
        <f t="shared" si="54"/>
        <v>102</v>
      </c>
      <c r="C1006" t="str">
        <f t="shared" si="56"/>
        <v>41</v>
      </c>
      <c r="D1006" t="str">
        <f>"11"</f>
        <v>11</v>
      </c>
      <c r="E1006" t="str">
        <f>"102-41-11"</f>
        <v>102-41-11</v>
      </c>
      <c r="F1006" t="s">
        <v>18</v>
      </c>
      <c r="G1006" t="s">
        <v>19</v>
      </c>
      <c r="H1006">
        <v>2</v>
      </c>
      <c r="I1006">
        <v>1</v>
      </c>
      <c r="J1006">
        <v>0</v>
      </c>
      <c r="K1006">
        <v>0</v>
      </c>
      <c r="L1006">
        <v>1</v>
      </c>
      <c r="M1006">
        <v>0</v>
      </c>
      <c r="N1006">
        <v>1</v>
      </c>
      <c r="O1006">
        <v>1</v>
      </c>
      <c r="P1006">
        <v>0</v>
      </c>
    </row>
    <row r="1007" spans="1:16" x14ac:dyDescent="0.25">
      <c r="A1007" t="str">
        <f>"1003"</f>
        <v>1003</v>
      </c>
      <c r="B1007" t="str">
        <f t="shared" si="54"/>
        <v>102</v>
      </c>
      <c r="C1007" t="str">
        <f t="shared" si="56"/>
        <v>41</v>
      </c>
      <c r="D1007" t="str">
        <f>"1"</f>
        <v>1</v>
      </c>
      <c r="E1007" t="str">
        <f>"102-41-1"</f>
        <v>102-41-1</v>
      </c>
      <c r="F1007" t="s">
        <v>18</v>
      </c>
      <c r="G1007" t="s">
        <v>19</v>
      </c>
      <c r="H1007">
        <v>2</v>
      </c>
      <c r="I1007">
        <v>1</v>
      </c>
      <c r="J1007">
        <v>1</v>
      </c>
      <c r="K1007">
        <v>1</v>
      </c>
      <c r="L1007">
        <v>0</v>
      </c>
      <c r="M1007">
        <v>1</v>
      </c>
      <c r="N1007">
        <v>0</v>
      </c>
      <c r="O1007">
        <v>1</v>
      </c>
      <c r="P1007">
        <v>0</v>
      </c>
    </row>
    <row r="1008" spans="1:16" x14ac:dyDescent="0.25">
      <c r="A1008" t="str">
        <f>"1004"</f>
        <v>1004</v>
      </c>
      <c r="B1008" t="str">
        <f t="shared" si="54"/>
        <v>102</v>
      </c>
      <c r="C1008" t="str">
        <f t="shared" si="56"/>
        <v>41</v>
      </c>
      <c r="D1008" t="str">
        <f>"24"</f>
        <v>24</v>
      </c>
      <c r="E1008" t="str">
        <f>"102-41-24"</f>
        <v>102-41-24</v>
      </c>
      <c r="F1008" t="s">
        <v>18</v>
      </c>
      <c r="G1008" t="s">
        <v>19</v>
      </c>
      <c r="H1008">
        <v>2</v>
      </c>
      <c r="I1008">
        <v>0</v>
      </c>
      <c r="J1008">
        <v>0</v>
      </c>
      <c r="K1008">
        <v>0</v>
      </c>
      <c r="L1008">
        <v>1</v>
      </c>
      <c r="M1008">
        <v>0</v>
      </c>
      <c r="N1008">
        <v>1</v>
      </c>
      <c r="O1008">
        <v>0</v>
      </c>
      <c r="P1008">
        <v>1</v>
      </c>
    </row>
    <row r="1009" spans="1:16" x14ac:dyDescent="0.25">
      <c r="A1009" t="str">
        <f>"1005"</f>
        <v>1005</v>
      </c>
      <c r="B1009" t="str">
        <f t="shared" si="54"/>
        <v>102</v>
      </c>
      <c r="C1009" t="str">
        <f t="shared" si="56"/>
        <v>41</v>
      </c>
      <c r="D1009" t="str">
        <f>"12"</f>
        <v>12</v>
      </c>
      <c r="E1009" t="str">
        <f>"102-41-12"</f>
        <v>102-41-12</v>
      </c>
      <c r="F1009" t="s">
        <v>18</v>
      </c>
      <c r="G1009" t="s">
        <v>19</v>
      </c>
      <c r="H1009">
        <v>2</v>
      </c>
      <c r="I1009">
        <v>1</v>
      </c>
      <c r="J1009">
        <v>1</v>
      </c>
      <c r="K1009">
        <v>0</v>
      </c>
      <c r="L1009">
        <v>1</v>
      </c>
      <c r="M1009">
        <v>0</v>
      </c>
      <c r="N1009">
        <v>1</v>
      </c>
      <c r="O1009">
        <v>0</v>
      </c>
      <c r="P1009">
        <v>1</v>
      </c>
    </row>
    <row r="1010" spans="1:16" x14ac:dyDescent="0.25">
      <c r="A1010" t="str">
        <f>"1006"</f>
        <v>1006</v>
      </c>
      <c r="B1010" t="str">
        <f t="shared" si="54"/>
        <v>102</v>
      </c>
      <c r="C1010" t="str">
        <f t="shared" si="56"/>
        <v>41</v>
      </c>
      <c r="D1010" t="str">
        <f>"3"</f>
        <v>3</v>
      </c>
      <c r="E1010" t="str">
        <f>"102-41-3"</f>
        <v>102-41-3</v>
      </c>
      <c r="F1010" t="s">
        <v>18</v>
      </c>
      <c r="G1010" t="s">
        <v>19</v>
      </c>
      <c r="H1010">
        <v>2</v>
      </c>
      <c r="I1010">
        <v>1</v>
      </c>
      <c r="J1010">
        <v>1</v>
      </c>
      <c r="K1010">
        <v>0</v>
      </c>
      <c r="L1010">
        <v>1</v>
      </c>
      <c r="M1010">
        <v>0</v>
      </c>
      <c r="N1010">
        <v>1</v>
      </c>
      <c r="O1010">
        <v>0</v>
      </c>
      <c r="P1010">
        <v>1</v>
      </c>
    </row>
    <row r="1011" spans="1:16" x14ac:dyDescent="0.25">
      <c r="A1011" t="str">
        <f>"1007"</f>
        <v>1007</v>
      </c>
      <c r="B1011" t="str">
        <f t="shared" si="54"/>
        <v>102</v>
      </c>
      <c r="C1011" t="str">
        <f t="shared" si="56"/>
        <v>41</v>
      </c>
      <c r="D1011" t="str">
        <f>"25"</f>
        <v>25</v>
      </c>
      <c r="E1011" t="str">
        <f>"102-41-25"</f>
        <v>102-41-25</v>
      </c>
      <c r="F1011" t="s">
        <v>18</v>
      </c>
      <c r="G1011" t="s">
        <v>20</v>
      </c>
      <c r="H1011">
        <v>1</v>
      </c>
      <c r="K1011">
        <v>1</v>
      </c>
      <c r="L1011">
        <v>0</v>
      </c>
      <c r="M1011">
        <v>0</v>
      </c>
      <c r="N1011">
        <v>1</v>
      </c>
    </row>
    <row r="1012" spans="1:16" x14ac:dyDescent="0.25">
      <c r="A1012" t="str">
        <f>"1008"</f>
        <v>1008</v>
      </c>
      <c r="B1012" t="str">
        <f t="shared" si="54"/>
        <v>102</v>
      </c>
      <c r="C1012" t="str">
        <f t="shared" si="56"/>
        <v>41</v>
      </c>
      <c r="D1012" t="str">
        <f>"13"</f>
        <v>13</v>
      </c>
      <c r="E1012" t="str">
        <f>"102-41-13"</f>
        <v>102-41-13</v>
      </c>
      <c r="F1012" t="s">
        <v>18</v>
      </c>
      <c r="G1012" t="s">
        <v>19</v>
      </c>
      <c r="H1012">
        <v>2</v>
      </c>
      <c r="I1012">
        <v>1</v>
      </c>
      <c r="J1012">
        <v>1</v>
      </c>
      <c r="K1012">
        <v>1</v>
      </c>
      <c r="L1012">
        <v>0</v>
      </c>
      <c r="M1012">
        <v>0</v>
      </c>
      <c r="N1012">
        <v>1</v>
      </c>
      <c r="O1012">
        <v>1</v>
      </c>
      <c r="P1012">
        <v>0</v>
      </c>
    </row>
    <row r="1013" spans="1:16" x14ac:dyDescent="0.25">
      <c r="A1013" t="str">
        <f>"1009"</f>
        <v>1009</v>
      </c>
      <c r="B1013" t="str">
        <f t="shared" si="54"/>
        <v>102</v>
      </c>
      <c r="C1013" t="str">
        <f t="shared" si="56"/>
        <v>41</v>
      </c>
      <c r="D1013" t="str">
        <f>"2"</f>
        <v>2</v>
      </c>
      <c r="E1013" t="str">
        <f>"102-41-2"</f>
        <v>102-41-2</v>
      </c>
      <c r="F1013" t="s">
        <v>18</v>
      </c>
      <c r="G1013" t="s">
        <v>19</v>
      </c>
      <c r="H1013">
        <v>2</v>
      </c>
      <c r="I1013">
        <v>1</v>
      </c>
      <c r="J1013">
        <v>1</v>
      </c>
      <c r="K1013">
        <v>0</v>
      </c>
      <c r="L1013">
        <v>1</v>
      </c>
      <c r="M1013">
        <v>0</v>
      </c>
      <c r="N1013">
        <v>1</v>
      </c>
      <c r="O1013">
        <v>0</v>
      </c>
      <c r="P1013">
        <v>1</v>
      </c>
    </row>
    <row r="1014" spans="1:16" x14ac:dyDescent="0.25">
      <c r="A1014" t="str">
        <f>"1010"</f>
        <v>1010</v>
      </c>
      <c r="B1014" t="str">
        <f t="shared" si="54"/>
        <v>102</v>
      </c>
      <c r="C1014" t="str">
        <f t="shared" si="56"/>
        <v>41</v>
      </c>
      <c r="D1014" t="str">
        <f>"21"</f>
        <v>21</v>
      </c>
      <c r="E1014" t="str">
        <f>"102-41-21"</f>
        <v>102-41-21</v>
      </c>
      <c r="F1014" t="s">
        <v>18</v>
      </c>
      <c r="G1014" t="s">
        <v>19</v>
      </c>
      <c r="H1014">
        <v>2</v>
      </c>
      <c r="I1014">
        <v>0</v>
      </c>
      <c r="J1014">
        <v>1</v>
      </c>
      <c r="K1014">
        <v>1</v>
      </c>
      <c r="L1014">
        <v>0</v>
      </c>
      <c r="M1014">
        <v>1</v>
      </c>
      <c r="N1014">
        <v>0</v>
      </c>
      <c r="O1014">
        <v>1</v>
      </c>
      <c r="P1014">
        <v>0</v>
      </c>
    </row>
    <row r="1015" spans="1:16" x14ac:dyDescent="0.25">
      <c r="A1015" t="str">
        <f>"1011"</f>
        <v>1011</v>
      </c>
      <c r="B1015" t="str">
        <f t="shared" si="54"/>
        <v>102</v>
      </c>
      <c r="C1015" t="str">
        <f t="shared" si="56"/>
        <v>41</v>
      </c>
      <c r="D1015" t="str">
        <f>"14"</f>
        <v>14</v>
      </c>
      <c r="E1015" t="str">
        <f>"102-41-14"</f>
        <v>102-41-14</v>
      </c>
      <c r="F1015" t="s">
        <v>18</v>
      </c>
      <c r="G1015" t="s">
        <v>19</v>
      </c>
      <c r="H1015">
        <v>2</v>
      </c>
      <c r="I1015">
        <v>0</v>
      </c>
      <c r="J1015">
        <v>1</v>
      </c>
      <c r="K1015">
        <v>1</v>
      </c>
      <c r="L1015">
        <v>0</v>
      </c>
      <c r="M1015">
        <v>1</v>
      </c>
      <c r="N1015">
        <v>0</v>
      </c>
      <c r="O1015">
        <v>1</v>
      </c>
      <c r="P1015">
        <v>0</v>
      </c>
    </row>
    <row r="1016" spans="1:16" x14ac:dyDescent="0.25">
      <c r="A1016" t="str">
        <f>"1012"</f>
        <v>1012</v>
      </c>
      <c r="B1016" t="str">
        <f t="shared" si="54"/>
        <v>102</v>
      </c>
      <c r="C1016" t="str">
        <f t="shared" si="56"/>
        <v>41</v>
      </c>
      <c r="D1016" t="str">
        <f>"4"</f>
        <v>4</v>
      </c>
      <c r="E1016" t="str">
        <f>"102-41-4"</f>
        <v>102-41-4</v>
      </c>
      <c r="F1016" t="s">
        <v>18</v>
      </c>
      <c r="G1016" t="s">
        <v>19</v>
      </c>
      <c r="H1016">
        <v>2</v>
      </c>
      <c r="I1016">
        <v>0</v>
      </c>
      <c r="J1016">
        <v>0</v>
      </c>
      <c r="K1016">
        <v>1</v>
      </c>
      <c r="L1016">
        <v>0</v>
      </c>
      <c r="M1016">
        <v>1</v>
      </c>
      <c r="N1016">
        <v>0</v>
      </c>
      <c r="O1016">
        <v>1</v>
      </c>
      <c r="P1016">
        <v>0</v>
      </c>
    </row>
    <row r="1017" spans="1:16" x14ac:dyDescent="0.25">
      <c r="A1017" t="str">
        <f>"1013"</f>
        <v>1013</v>
      </c>
      <c r="B1017" t="str">
        <f t="shared" si="54"/>
        <v>102</v>
      </c>
      <c r="C1017" t="str">
        <f t="shared" si="56"/>
        <v>41</v>
      </c>
      <c r="D1017" t="str">
        <f>"23"</f>
        <v>23</v>
      </c>
      <c r="E1017" t="str">
        <f>"102-41-23"</f>
        <v>102-41-23</v>
      </c>
      <c r="F1017" t="s">
        <v>18</v>
      </c>
      <c r="G1017" t="s">
        <v>19</v>
      </c>
      <c r="H1017">
        <v>2</v>
      </c>
      <c r="I1017">
        <v>0</v>
      </c>
      <c r="J1017">
        <v>0</v>
      </c>
      <c r="K1017">
        <v>0</v>
      </c>
      <c r="L1017">
        <v>1</v>
      </c>
      <c r="M1017">
        <v>0</v>
      </c>
      <c r="N1017">
        <v>1</v>
      </c>
      <c r="O1017">
        <v>0</v>
      </c>
      <c r="P1017">
        <v>1</v>
      </c>
    </row>
    <row r="1018" spans="1:16" x14ac:dyDescent="0.25">
      <c r="A1018" t="str">
        <f>"1014"</f>
        <v>1014</v>
      </c>
      <c r="B1018" t="str">
        <f t="shared" si="54"/>
        <v>102</v>
      </c>
      <c r="C1018" t="str">
        <f t="shared" si="56"/>
        <v>41</v>
      </c>
      <c r="D1018" t="str">
        <f>"15"</f>
        <v>15</v>
      </c>
      <c r="E1018" t="str">
        <f>"102-41-15"</f>
        <v>102-41-15</v>
      </c>
      <c r="F1018" t="s">
        <v>18</v>
      </c>
      <c r="G1018" t="s">
        <v>19</v>
      </c>
      <c r="H1018">
        <v>2</v>
      </c>
      <c r="I1018">
        <v>0</v>
      </c>
      <c r="J1018">
        <v>1</v>
      </c>
      <c r="K1018">
        <v>1</v>
      </c>
      <c r="L1018">
        <v>0</v>
      </c>
      <c r="M1018">
        <v>1</v>
      </c>
      <c r="N1018">
        <v>0</v>
      </c>
      <c r="O1018">
        <v>1</v>
      </c>
      <c r="P1018">
        <v>0</v>
      </c>
    </row>
    <row r="1019" spans="1:16" x14ac:dyDescent="0.25">
      <c r="A1019" t="str">
        <f>"1015"</f>
        <v>1015</v>
      </c>
      <c r="B1019" t="str">
        <f t="shared" si="54"/>
        <v>102</v>
      </c>
      <c r="C1019" t="str">
        <f t="shared" si="56"/>
        <v>41</v>
      </c>
      <c r="D1019" t="str">
        <f>"6"</f>
        <v>6</v>
      </c>
      <c r="E1019" t="str">
        <f>"102-41-6"</f>
        <v>102-41-6</v>
      </c>
      <c r="F1019" t="s">
        <v>18</v>
      </c>
      <c r="G1019" t="s">
        <v>19</v>
      </c>
      <c r="H1019">
        <v>2</v>
      </c>
      <c r="I1019">
        <v>1</v>
      </c>
      <c r="J1019">
        <v>1</v>
      </c>
      <c r="K1019">
        <v>1</v>
      </c>
      <c r="L1019">
        <v>0</v>
      </c>
      <c r="M1019">
        <v>1</v>
      </c>
      <c r="N1019">
        <v>0</v>
      </c>
      <c r="O1019">
        <v>1</v>
      </c>
      <c r="P1019">
        <v>0</v>
      </c>
    </row>
    <row r="1020" spans="1:16" x14ac:dyDescent="0.25">
      <c r="A1020" t="str">
        <f>"1016"</f>
        <v>1016</v>
      </c>
      <c r="B1020" t="str">
        <f t="shared" si="54"/>
        <v>102</v>
      </c>
      <c r="C1020" t="str">
        <f t="shared" si="56"/>
        <v>41</v>
      </c>
      <c r="D1020" t="str">
        <f>"16"</f>
        <v>16</v>
      </c>
      <c r="E1020" t="str">
        <f>"102-41-16"</f>
        <v>102-41-16</v>
      </c>
      <c r="F1020" t="s">
        <v>18</v>
      </c>
      <c r="G1020" t="s">
        <v>19</v>
      </c>
      <c r="H1020">
        <v>2</v>
      </c>
      <c r="I1020">
        <v>0</v>
      </c>
      <c r="J1020">
        <v>1</v>
      </c>
      <c r="K1020">
        <v>1</v>
      </c>
      <c r="L1020">
        <v>0</v>
      </c>
      <c r="M1020">
        <v>1</v>
      </c>
      <c r="N1020">
        <v>0</v>
      </c>
      <c r="O1020">
        <v>1</v>
      </c>
      <c r="P1020">
        <v>0</v>
      </c>
    </row>
    <row r="1021" spans="1:16" x14ac:dyDescent="0.25">
      <c r="A1021" t="str">
        <f>"1017"</f>
        <v>1017</v>
      </c>
      <c r="B1021" t="str">
        <f t="shared" si="54"/>
        <v>102</v>
      </c>
      <c r="C1021" t="str">
        <f t="shared" si="56"/>
        <v>41</v>
      </c>
      <c r="D1021" t="str">
        <f>"8"</f>
        <v>8</v>
      </c>
      <c r="E1021" t="str">
        <f>"102-41-8"</f>
        <v>102-41-8</v>
      </c>
      <c r="F1021" t="s">
        <v>18</v>
      </c>
      <c r="G1021" t="s">
        <v>19</v>
      </c>
      <c r="H1021">
        <v>2</v>
      </c>
      <c r="I1021">
        <v>0</v>
      </c>
      <c r="J1021">
        <v>1</v>
      </c>
      <c r="K1021">
        <v>1</v>
      </c>
      <c r="L1021">
        <v>0</v>
      </c>
      <c r="M1021">
        <v>1</v>
      </c>
      <c r="N1021">
        <v>0</v>
      </c>
      <c r="O1021">
        <v>1</v>
      </c>
      <c r="P1021">
        <v>0</v>
      </c>
    </row>
    <row r="1022" spans="1:16" x14ac:dyDescent="0.25">
      <c r="A1022" t="str">
        <f>"1018"</f>
        <v>1018</v>
      </c>
      <c r="B1022" t="str">
        <f t="shared" si="54"/>
        <v>102</v>
      </c>
      <c r="C1022" t="str">
        <f t="shared" si="56"/>
        <v>41</v>
      </c>
      <c r="D1022" t="str">
        <f>"17"</f>
        <v>17</v>
      </c>
      <c r="E1022" t="str">
        <f>"102-41-17"</f>
        <v>102-41-17</v>
      </c>
      <c r="F1022" t="s">
        <v>18</v>
      </c>
      <c r="G1022" t="s">
        <v>19</v>
      </c>
      <c r="H1022">
        <v>2</v>
      </c>
      <c r="I1022">
        <v>1</v>
      </c>
      <c r="J1022">
        <v>1</v>
      </c>
      <c r="K1022">
        <v>1</v>
      </c>
      <c r="L1022">
        <v>0</v>
      </c>
      <c r="M1022">
        <v>1</v>
      </c>
      <c r="N1022">
        <v>0</v>
      </c>
      <c r="O1022">
        <v>1</v>
      </c>
      <c r="P1022">
        <v>0</v>
      </c>
    </row>
    <row r="1023" spans="1:16" x14ac:dyDescent="0.25">
      <c r="A1023" t="str">
        <f>"1019"</f>
        <v>1019</v>
      </c>
      <c r="B1023" t="str">
        <f t="shared" si="54"/>
        <v>102</v>
      </c>
      <c r="C1023" t="str">
        <f t="shared" si="56"/>
        <v>41</v>
      </c>
      <c r="D1023" t="str">
        <f>"9"</f>
        <v>9</v>
      </c>
      <c r="E1023" t="str">
        <f>"102-41-9"</f>
        <v>102-41-9</v>
      </c>
      <c r="F1023" t="s">
        <v>18</v>
      </c>
      <c r="G1023" t="s">
        <v>19</v>
      </c>
      <c r="H1023">
        <v>2</v>
      </c>
      <c r="I1023">
        <v>0</v>
      </c>
      <c r="J1023">
        <v>0</v>
      </c>
      <c r="K1023">
        <v>0</v>
      </c>
      <c r="L1023">
        <v>1</v>
      </c>
      <c r="M1023">
        <v>0</v>
      </c>
      <c r="N1023">
        <v>1</v>
      </c>
      <c r="O1023">
        <v>0</v>
      </c>
      <c r="P1023">
        <v>1</v>
      </c>
    </row>
    <row r="1024" spans="1:16" x14ac:dyDescent="0.25">
      <c r="A1024" t="str">
        <f>"1020"</f>
        <v>1020</v>
      </c>
      <c r="B1024" t="str">
        <f t="shared" si="54"/>
        <v>102</v>
      </c>
      <c r="C1024" t="str">
        <f t="shared" si="56"/>
        <v>41</v>
      </c>
      <c r="D1024" t="str">
        <f>"18"</f>
        <v>18</v>
      </c>
      <c r="E1024" t="str">
        <f>"102-41-18"</f>
        <v>102-41-18</v>
      </c>
      <c r="F1024" t="s">
        <v>18</v>
      </c>
      <c r="G1024" t="s">
        <v>19</v>
      </c>
      <c r="H1024">
        <v>2</v>
      </c>
      <c r="I1024">
        <v>0</v>
      </c>
      <c r="J1024">
        <v>0</v>
      </c>
      <c r="K1024">
        <v>1</v>
      </c>
      <c r="L1024">
        <v>0</v>
      </c>
      <c r="M1024">
        <v>1</v>
      </c>
      <c r="N1024">
        <v>0</v>
      </c>
      <c r="O1024">
        <v>1</v>
      </c>
      <c r="P1024">
        <v>0</v>
      </c>
    </row>
    <row r="1025" spans="1:16" x14ac:dyDescent="0.25">
      <c r="A1025" t="str">
        <f>"1021"</f>
        <v>1021</v>
      </c>
      <c r="B1025" t="str">
        <f t="shared" si="54"/>
        <v>102</v>
      </c>
      <c r="C1025" t="str">
        <f t="shared" si="56"/>
        <v>41</v>
      </c>
      <c r="D1025" t="str">
        <f>"10"</f>
        <v>10</v>
      </c>
      <c r="E1025" t="str">
        <f>"102-41-10"</f>
        <v>102-41-10</v>
      </c>
      <c r="F1025" t="s">
        <v>18</v>
      </c>
      <c r="G1025" t="s">
        <v>19</v>
      </c>
      <c r="H1025">
        <v>2</v>
      </c>
      <c r="I1025">
        <v>1</v>
      </c>
      <c r="J1025">
        <v>1</v>
      </c>
      <c r="K1025">
        <v>1</v>
      </c>
      <c r="L1025">
        <v>0</v>
      </c>
      <c r="M1025">
        <v>0</v>
      </c>
      <c r="N1025">
        <v>1</v>
      </c>
      <c r="O1025">
        <v>0</v>
      </c>
      <c r="P1025">
        <v>1</v>
      </c>
    </row>
    <row r="1026" spans="1:16" x14ac:dyDescent="0.25">
      <c r="A1026" t="str">
        <f>"1022"</f>
        <v>1022</v>
      </c>
      <c r="B1026" t="str">
        <f t="shared" si="54"/>
        <v>102</v>
      </c>
      <c r="C1026" t="str">
        <f t="shared" si="56"/>
        <v>41</v>
      </c>
      <c r="D1026" t="str">
        <f>"19"</f>
        <v>19</v>
      </c>
      <c r="E1026" t="str">
        <f>"102-41-19"</f>
        <v>102-41-19</v>
      </c>
      <c r="F1026" t="s">
        <v>18</v>
      </c>
      <c r="G1026" t="s">
        <v>19</v>
      </c>
      <c r="H1026">
        <v>2</v>
      </c>
      <c r="I1026">
        <v>1</v>
      </c>
      <c r="J1026">
        <v>1</v>
      </c>
      <c r="K1026">
        <v>1</v>
      </c>
      <c r="L1026">
        <v>0</v>
      </c>
      <c r="M1026">
        <v>0</v>
      </c>
      <c r="N1026">
        <v>1</v>
      </c>
      <c r="O1026">
        <v>1</v>
      </c>
      <c r="P1026">
        <v>0</v>
      </c>
    </row>
    <row r="1027" spans="1:16" x14ac:dyDescent="0.25">
      <c r="A1027" t="str">
        <f>"1023"</f>
        <v>1023</v>
      </c>
      <c r="B1027" t="str">
        <f t="shared" si="54"/>
        <v>102</v>
      </c>
      <c r="C1027" t="str">
        <f t="shared" si="56"/>
        <v>41</v>
      </c>
      <c r="D1027" t="str">
        <f>"7"</f>
        <v>7</v>
      </c>
      <c r="E1027" t="str">
        <f>"102-41-7"</f>
        <v>102-41-7</v>
      </c>
      <c r="F1027" t="s">
        <v>18</v>
      </c>
      <c r="G1027" t="s">
        <v>19</v>
      </c>
      <c r="H1027">
        <v>2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1</v>
      </c>
      <c r="O1027">
        <v>0</v>
      </c>
      <c r="P1027">
        <v>1</v>
      </c>
    </row>
    <row r="1028" spans="1:16" x14ac:dyDescent="0.25">
      <c r="A1028" t="str">
        <f>"1024"</f>
        <v>1024</v>
      </c>
      <c r="B1028" t="str">
        <f t="shared" si="54"/>
        <v>102</v>
      </c>
      <c r="C1028" t="str">
        <f t="shared" si="56"/>
        <v>41</v>
      </c>
      <c r="D1028" t="str">
        <f>"20"</f>
        <v>20</v>
      </c>
      <c r="E1028" t="str">
        <f>"102-41-20"</f>
        <v>102-41-20</v>
      </c>
      <c r="F1028" t="s">
        <v>18</v>
      </c>
      <c r="G1028" t="s">
        <v>19</v>
      </c>
      <c r="H1028">
        <v>2</v>
      </c>
      <c r="I1028">
        <v>1</v>
      </c>
      <c r="J1028">
        <v>1</v>
      </c>
      <c r="K1028">
        <v>0</v>
      </c>
      <c r="L1028">
        <v>1</v>
      </c>
      <c r="M1028">
        <v>0</v>
      </c>
      <c r="N1028">
        <v>1</v>
      </c>
      <c r="O1028">
        <v>0</v>
      </c>
      <c r="P1028">
        <v>1</v>
      </c>
    </row>
    <row r="1029" spans="1:16" x14ac:dyDescent="0.25">
      <c r="A1029" t="str">
        <f>"1025"</f>
        <v>1025</v>
      </c>
      <c r="B1029" t="str">
        <f t="shared" ref="B1029:B1092" si="57">"102"</f>
        <v>102</v>
      </c>
      <c r="C1029" t="str">
        <f t="shared" si="56"/>
        <v>41</v>
      </c>
      <c r="D1029" t="str">
        <f>"5"</f>
        <v>5</v>
      </c>
      <c r="E1029" t="str">
        <f>"102-41-5"</f>
        <v>102-41-5</v>
      </c>
      <c r="F1029" t="s">
        <v>18</v>
      </c>
      <c r="G1029" t="s">
        <v>19</v>
      </c>
      <c r="H1029">
        <v>2</v>
      </c>
      <c r="I1029">
        <v>0</v>
      </c>
      <c r="J1029">
        <v>0</v>
      </c>
      <c r="K1029">
        <v>1</v>
      </c>
      <c r="L1029">
        <v>0</v>
      </c>
      <c r="M1029">
        <v>1</v>
      </c>
      <c r="N1029">
        <v>0</v>
      </c>
      <c r="O1029">
        <v>1</v>
      </c>
      <c r="P1029">
        <v>0</v>
      </c>
    </row>
    <row r="1030" spans="1:16" x14ac:dyDescent="0.25">
      <c r="A1030" t="str">
        <f>"1026"</f>
        <v>1026</v>
      </c>
      <c r="B1030" t="str">
        <f t="shared" si="57"/>
        <v>102</v>
      </c>
      <c r="C1030" t="str">
        <f t="shared" ref="C1030:C1054" si="58">"42"</f>
        <v>42</v>
      </c>
      <c r="D1030" t="str">
        <f>"21"</f>
        <v>21</v>
      </c>
      <c r="E1030" t="str">
        <f>"102-42-21"</f>
        <v>102-42-21</v>
      </c>
      <c r="F1030" t="s">
        <v>18</v>
      </c>
      <c r="G1030" t="s">
        <v>19</v>
      </c>
      <c r="H1030">
        <v>2</v>
      </c>
      <c r="I1030">
        <v>1</v>
      </c>
      <c r="J1030">
        <v>1</v>
      </c>
      <c r="K1030">
        <v>1</v>
      </c>
      <c r="L1030">
        <v>0</v>
      </c>
      <c r="M1030">
        <v>1</v>
      </c>
      <c r="N1030">
        <v>0</v>
      </c>
      <c r="O1030">
        <v>1</v>
      </c>
      <c r="P1030">
        <v>0</v>
      </c>
    </row>
    <row r="1031" spans="1:16" x14ac:dyDescent="0.25">
      <c r="A1031" t="str">
        <f>"1027"</f>
        <v>1027</v>
      </c>
      <c r="B1031" t="str">
        <f t="shared" si="57"/>
        <v>102</v>
      </c>
      <c r="C1031" t="str">
        <f t="shared" si="58"/>
        <v>42</v>
      </c>
      <c r="D1031" t="str">
        <f>"11"</f>
        <v>11</v>
      </c>
      <c r="E1031" t="str">
        <f>"102-42-11"</f>
        <v>102-42-11</v>
      </c>
      <c r="F1031" t="s">
        <v>18</v>
      </c>
      <c r="G1031" t="s">
        <v>20</v>
      </c>
      <c r="H1031">
        <v>1</v>
      </c>
      <c r="K1031">
        <v>1</v>
      </c>
      <c r="L1031">
        <v>0</v>
      </c>
      <c r="M1031">
        <v>1</v>
      </c>
      <c r="N1031">
        <v>0</v>
      </c>
    </row>
    <row r="1032" spans="1:16" x14ac:dyDescent="0.25">
      <c r="A1032" t="str">
        <f>"1028"</f>
        <v>1028</v>
      </c>
      <c r="B1032" t="str">
        <f t="shared" si="57"/>
        <v>102</v>
      </c>
      <c r="C1032" t="str">
        <f t="shared" si="58"/>
        <v>42</v>
      </c>
      <c r="D1032" t="str">
        <f>"9"</f>
        <v>9</v>
      </c>
      <c r="E1032" t="str">
        <f>"102-42-9"</f>
        <v>102-42-9</v>
      </c>
      <c r="F1032" t="s">
        <v>18</v>
      </c>
      <c r="G1032" t="s">
        <v>20</v>
      </c>
      <c r="H1032">
        <v>1</v>
      </c>
      <c r="K1032">
        <v>1</v>
      </c>
      <c r="L1032">
        <v>0</v>
      </c>
      <c r="M1032">
        <v>1</v>
      </c>
      <c r="N1032">
        <v>0</v>
      </c>
    </row>
    <row r="1033" spans="1:16" x14ac:dyDescent="0.25">
      <c r="A1033" t="str">
        <f>"1029"</f>
        <v>1029</v>
      </c>
      <c r="B1033" t="str">
        <f t="shared" si="57"/>
        <v>102</v>
      </c>
      <c r="C1033" t="str">
        <f t="shared" si="58"/>
        <v>42</v>
      </c>
      <c r="D1033" t="str">
        <f>"24"</f>
        <v>24</v>
      </c>
      <c r="E1033" t="str">
        <f>"102-42-24"</f>
        <v>102-42-24</v>
      </c>
      <c r="F1033" t="s">
        <v>18</v>
      </c>
      <c r="G1033" t="s">
        <v>19</v>
      </c>
      <c r="H1033">
        <v>2</v>
      </c>
      <c r="I1033">
        <v>1</v>
      </c>
      <c r="J1033">
        <v>1</v>
      </c>
      <c r="K1033">
        <v>0</v>
      </c>
      <c r="L1033">
        <v>1</v>
      </c>
      <c r="M1033">
        <v>0</v>
      </c>
      <c r="N1033">
        <v>1</v>
      </c>
      <c r="O1033">
        <v>0</v>
      </c>
      <c r="P1033">
        <v>1</v>
      </c>
    </row>
    <row r="1034" spans="1:16" x14ac:dyDescent="0.25">
      <c r="A1034" t="str">
        <f>"1030"</f>
        <v>1030</v>
      </c>
      <c r="B1034" t="str">
        <f t="shared" si="57"/>
        <v>102</v>
      </c>
      <c r="C1034" t="str">
        <f t="shared" si="58"/>
        <v>42</v>
      </c>
      <c r="D1034" t="str">
        <f>"12"</f>
        <v>12</v>
      </c>
      <c r="E1034" t="str">
        <f>"102-42-12"</f>
        <v>102-42-12</v>
      </c>
      <c r="F1034" t="s">
        <v>18</v>
      </c>
      <c r="G1034" t="s">
        <v>20</v>
      </c>
      <c r="H1034">
        <v>1</v>
      </c>
      <c r="K1034">
        <v>1</v>
      </c>
      <c r="L1034">
        <v>0</v>
      </c>
      <c r="M1034">
        <v>1</v>
      </c>
      <c r="N1034">
        <v>0</v>
      </c>
    </row>
    <row r="1035" spans="1:16" x14ac:dyDescent="0.25">
      <c r="A1035" t="str">
        <f>"1031"</f>
        <v>1031</v>
      </c>
      <c r="B1035" t="str">
        <f t="shared" si="57"/>
        <v>102</v>
      </c>
      <c r="C1035" t="str">
        <f t="shared" si="58"/>
        <v>42</v>
      </c>
      <c r="D1035" t="str">
        <f>"8"</f>
        <v>8</v>
      </c>
      <c r="E1035" t="str">
        <f>"102-42-8"</f>
        <v>102-42-8</v>
      </c>
      <c r="F1035" t="s">
        <v>18</v>
      </c>
      <c r="G1035" t="s">
        <v>20</v>
      </c>
      <c r="H1035">
        <v>1</v>
      </c>
      <c r="K1035">
        <v>1</v>
      </c>
      <c r="L1035">
        <v>0</v>
      </c>
      <c r="M1035">
        <v>1</v>
      </c>
      <c r="N1035">
        <v>0</v>
      </c>
    </row>
    <row r="1036" spans="1:16" x14ac:dyDescent="0.25">
      <c r="A1036" t="str">
        <f>"1032"</f>
        <v>1032</v>
      </c>
      <c r="B1036" t="str">
        <f t="shared" si="57"/>
        <v>102</v>
      </c>
      <c r="C1036" t="str">
        <f t="shared" si="58"/>
        <v>42</v>
      </c>
      <c r="D1036" t="str">
        <f>"22"</f>
        <v>22</v>
      </c>
      <c r="E1036" t="str">
        <f>"102-42-22"</f>
        <v>102-42-22</v>
      </c>
      <c r="F1036" t="s">
        <v>18</v>
      </c>
      <c r="G1036" t="s">
        <v>19</v>
      </c>
      <c r="H1036">
        <v>2</v>
      </c>
      <c r="I1036">
        <v>1</v>
      </c>
      <c r="J1036">
        <v>1</v>
      </c>
      <c r="K1036">
        <v>0</v>
      </c>
      <c r="L1036">
        <v>1</v>
      </c>
      <c r="M1036">
        <v>0</v>
      </c>
      <c r="N1036">
        <v>1</v>
      </c>
      <c r="O1036">
        <v>0</v>
      </c>
      <c r="P1036">
        <v>1</v>
      </c>
    </row>
    <row r="1037" spans="1:16" x14ac:dyDescent="0.25">
      <c r="A1037" t="str">
        <f>"1033"</f>
        <v>1033</v>
      </c>
      <c r="B1037" t="str">
        <f t="shared" si="57"/>
        <v>102</v>
      </c>
      <c r="C1037" t="str">
        <f t="shared" si="58"/>
        <v>42</v>
      </c>
      <c r="D1037" t="str">
        <f>"13"</f>
        <v>13</v>
      </c>
      <c r="E1037" t="str">
        <f>"102-42-13"</f>
        <v>102-42-13</v>
      </c>
      <c r="F1037" t="s">
        <v>18</v>
      </c>
      <c r="G1037" t="s">
        <v>20</v>
      </c>
      <c r="H1037">
        <v>1</v>
      </c>
      <c r="K1037">
        <v>1</v>
      </c>
      <c r="L1037">
        <v>0</v>
      </c>
      <c r="M1037">
        <v>1</v>
      </c>
      <c r="N1037">
        <v>0</v>
      </c>
    </row>
    <row r="1038" spans="1:16" x14ac:dyDescent="0.25">
      <c r="A1038" t="str">
        <f>"1034"</f>
        <v>1034</v>
      </c>
      <c r="B1038" t="str">
        <f t="shared" si="57"/>
        <v>102</v>
      </c>
      <c r="C1038" t="str">
        <f t="shared" si="58"/>
        <v>42</v>
      </c>
      <c r="D1038" t="str">
        <f>"4"</f>
        <v>4</v>
      </c>
      <c r="E1038" t="str">
        <f>"102-42-4"</f>
        <v>102-42-4</v>
      </c>
      <c r="F1038" t="s">
        <v>18</v>
      </c>
      <c r="G1038" t="s">
        <v>20</v>
      </c>
      <c r="H1038">
        <v>1</v>
      </c>
      <c r="K1038">
        <v>1</v>
      </c>
      <c r="L1038">
        <v>0</v>
      </c>
      <c r="M1038">
        <v>1</v>
      </c>
      <c r="N1038">
        <v>0</v>
      </c>
    </row>
    <row r="1039" spans="1:16" x14ac:dyDescent="0.25">
      <c r="A1039" t="str">
        <f>"1035"</f>
        <v>1035</v>
      </c>
      <c r="B1039" t="str">
        <f t="shared" si="57"/>
        <v>102</v>
      </c>
      <c r="C1039" t="str">
        <f t="shared" si="58"/>
        <v>42</v>
      </c>
      <c r="D1039" t="str">
        <f>"23"</f>
        <v>23</v>
      </c>
      <c r="E1039" t="str">
        <f>"102-42-23"</f>
        <v>102-42-23</v>
      </c>
      <c r="F1039" t="s">
        <v>18</v>
      </c>
      <c r="G1039" t="s">
        <v>19</v>
      </c>
      <c r="H1039">
        <v>2</v>
      </c>
      <c r="I1039">
        <v>0</v>
      </c>
      <c r="J1039">
        <v>1</v>
      </c>
      <c r="K1039">
        <v>0</v>
      </c>
      <c r="L1039">
        <v>1</v>
      </c>
      <c r="M1039">
        <v>0</v>
      </c>
      <c r="N1039">
        <v>1</v>
      </c>
      <c r="O1039">
        <v>0</v>
      </c>
      <c r="P1039">
        <v>1</v>
      </c>
    </row>
    <row r="1040" spans="1:16" x14ac:dyDescent="0.25">
      <c r="A1040" t="str">
        <f>"1036"</f>
        <v>1036</v>
      </c>
      <c r="B1040" t="str">
        <f t="shared" si="57"/>
        <v>102</v>
      </c>
      <c r="C1040" t="str">
        <f t="shared" si="58"/>
        <v>42</v>
      </c>
      <c r="D1040" t="str">
        <f>"14"</f>
        <v>14</v>
      </c>
      <c r="E1040" t="str">
        <f>"102-42-14"</f>
        <v>102-42-14</v>
      </c>
      <c r="F1040" t="s">
        <v>18</v>
      </c>
      <c r="G1040" t="s">
        <v>20</v>
      </c>
      <c r="H1040">
        <v>1</v>
      </c>
      <c r="K1040">
        <v>1</v>
      </c>
      <c r="L1040">
        <v>0</v>
      </c>
      <c r="M1040">
        <v>0</v>
      </c>
      <c r="N1040">
        <v>1</v>
      </c>
    </row>
    <row r="1041" spans="1:16" x14ac:dyDescent="0.25">
      <c r="A1041" t="str">
        <f>"1037"</f>
        <v>1037</v>
      </c>
      <c r="B1041" t="str">
        <f t="shared" si="57"/>
        <v>102</v>
      </c>
      <c r="C1041" t="str">
        <f t="shared" si="58"/>
        <v>42</v>
      </c>
      <c r="D1041" t="str">
        <f>"7"</f>
        <v>7</v>
      </c>
      <c r="E1041" t="str">
        <f>"102-42-7"</f>
        <v>102-42-7</v>
      </c>
      <c r="F1041" t="s">
        <v>18</v>
      </c>
      <c r="G1041" t="s">
        <v>20</v>
      </c>
      <c r="H1041">
        <v>1</v>
      </c>
      <c r="K1041">
        <v>0</v>
      </c>
      <c r="L1041">
        <v>1</v>
      </c>
      <c r="M1041">
        <v>0</v>
      </c>
      <c r="N1041">
        <v>1</v>
      </c>
    </row>
    <row r="1042" spans="1:16" x14ac:dyDescent="0.25">
      <c r="A1042" t="str">
        <f>"1038"</f>
        <v>1038</v>
      </c>
      <c r="B1042" t="str">
        <f t="shared" si="57"/>
        <v>102</v>
      </c>
      <c r="C1042" t="str">
        <f t="shared" si="58"/>
        <v>42</v>
      </c>
      <c r="D1042" t="str">
        <f>"15"</f>
        <v>15</v>
      </c>
      <c r="E1042" t="str">
        <f>"102-42-15"</f>
        <v>102-42-15</v>
      </c>
      <c r="F1042" t="s">
        <v>18</v>
      </c>
      <c r="G1042" t="s">
        <v>19</v>
      </c>
      <c r="H1042">
        <v>2</v>
      </c>
      <c r="I1042">
        <v>1</v>
      </c>
      <c r="J1042">
        <v>1</v>
      </c>
      <c r="K1042">
        <v>1</v>
      </c>
      <c r="L1042">
        <v>0</v>
      </c>
      <c r="M1042">
        <v>1</v>
      </c>
      <c r="N1042">
        <v>0</v>
      </c>
      <c r="O1042">
        <v>1</v>
      </c>
      <c r="P1042">
        <v>0</v>
      </c>
    </row>
    <row r="1043" spans="1:16" x14ac:dyDescent="0.25">
      <c r="A1043" t="str">
        <f>"1039"</f>
        <v>1039</v>
      </c>
      <c r="B1043" t="str">
        <f t="shared" si="57"/>
        <v>102</v>
      </c>
      <c r="C1043" t="str">
        <f t="shared" si="58"/>
        <v>42</v>
      </c>
      <c r="D1043" t="str">
        <f>"6"</f>
        <v>6</v>
      </c>
      <c r="E1043" t="str">
        <f>"102-42-6"</f>
        <v>102-42-6</v>
      </c>
      <c r="F1043" t="s">
        <v>18</v>
      </c>
      <c r="G1043" t="s">
        <v>20</v>
      </c>
      <c r="H1043">
        <v>1</v>
      </c>
      <c r="K1043">
        <v>0</v>
      </c>
      <c r="L1043">
        <v>1</v>
      </c>
      <c r="M1043">
        <v>0</v>
      </c>
      <c r="N1043">
        <v>1</v>
      </c>
    </row>
    <row r="1044" spans="1:16" x14ac:dyDescent="0.25">
      <c r="A1044" t="str">
        <f>"1040"</f>
        <v>1040</v>
      </c>
      <c r="B1044" t="str">
        <f t="shared" si="57"/>
        <v>102</v>
      </c>
      <c r="C1044" t="str">
        <f t="shared" si="58"/>
        <v>42</v>
      </c>
      <c r="D1044" t="str">
        <f>"16"</f>
        <v>16</v>
      </c>
      <c r="E1044" t="str">
        <f>"102-42-16"</f>
        <v>102-42-16</v>
      </c>
      <c r="F1044" t="s">
        <v>18</v>
      </c>
      <c r="G1044" t="s">
        <v>19</v>
      </c>
      <c r="H1044">
        <v>2</v>
      </c>
      <c r="I1044">
        <v>1</v>
      </c>
      <c r="J1044">
        <v>1</v>
      </c>
      <c r="K1044">
        <v>1</v>
      </c>
      <c r="L1044">
        <v>0</v>
      </c>
      <c r="M1044">
        <v>0</v>
      </c>
      <c r="N1044">
        <v>1</v>
      </c>
      <c r="O1044">
        <v>0</v>
      </c>
      <c r="P1044">
        <v>1</v>
      </c>
    </row>
    <row r="1045" spans="1:16" x14ac:dyDescent="0.25">
      <c r="A1045" t="str">
        <f>"1041"</f>
        <v>1041</v>
      </c>
      <c r="B1045" t="str">
        <f t="shared" si="57"/>
        <v>102</v>
      </c>
      <c r="C1045" t="str">
        <f t="shared" si="58"/>
        <v>42</v>
      </c>
      <c r="D1045" t="str">
        <f>"5"</f>
        <v>5</v>
      </c>
      <c r="E1045" t="str">
        <f>"102-42-5"</f>
        <v>102-42-5</v>
      </c>
      <c r="F1045" t="s">
        <v>18</v>
      </c>
      <c r="G1045" t="s">
        <v>20</v>
      </c>
      <c r="H1045">
        <v>1</v>
      </c>
      <c r="K1045">
        <v>0</v>
      </c>
      <c r="L1045">
        <v>1</v>
      </c>
      <c r="M1045">
        <v>0</v>
      </c>
      <c r="N1045">
        <v>1</v>
      </c>
    </row>
    <row r="1046" spans="1:16" x14ac:dyDescent="0.25">
      <c r="A1046" t="str">
        <f>"1042"</f>
        <v>1042</v>
      </c>
      <c r="B1046" t="str">
        <f t="shared" si="57"/>
        <v>102</v>
      </c>
      <c r="C1046" t="str">
        <f t="shared" si="58"/>
        <v>42</v>
      </c>
      <c r="D1046" t="str">
        <f>"25"</f>
        <v>25</v>
      </c>
      <c r="E1046" t="str">
        <f>"102-42-25"</f>
        <v>102-42-25</v>
      </c>
      <c r="F1046" t="s">
        <v>18</v>
      </c>
      <c r="G1046" t="s">
        <v>19</v>
      </c>
      <c r="H1046">
        <v>2</v>
      </c>
      <c r="I1046">
        <v>1</v>
      </c>
      <c r="J1046">
        <v>1</v>
      </c>
      <c r="K1046">
        <v>0</v>
      </c>
      <c r="L1046">
        <v>1</v>
      </c>
      <c r="M1046">
        <v>0</v>
      </c>
      <c r="N1046">
        <v>1</v>
      </c>
      <c r="O1046">
        <v>1</v>
      </c>
      <c r="P1046">
        <v>0</v>
      </c>
    </row>
    <row r="1047" spans="1:16" x14ac:dyDescent="0.25">
      <c r="A1047" t="str">
        <f>"1043"</f>
        <v>1043</v>
      </c>
      <c r="B1047" t="str">
        <f t="shared" si="57"/>
        <v>102</v>
      </c>
      <c r="C1047" t="str">
        <f t="shared" si="58"/>
        <v>42</v>
      </c>
      <c r="D1047" t="str">
        <f>"17"</f>
        <v>17</v>
      </c>
      <c r="E1047" t="str">
        <f>"102-42-17"</f>
        <v>102-42-17</v>
      </c>
      <c r="F1047" t="s">
        <v>18</v>
      </c>
      <c r="G1047" t="s">
        <v>20</v>
      </c>
      <c r="H1047">
        <v>1</v>
      </c>
      <c r="K1047">
        <v>1</v>
      </c>
      <c r="L1047">
        <v>0</v>
      </c>
      <c r="M1047">
        <v>1</v>
      </c>
      <c r="N1047">
        <v>0</v>
      </c>
    </row>
    <row r="1048" spans="1:16" x14ac:dyDescent="0.25">
      <c r="A1048" t="str">
        <f>"1044"</f>
        <v>1044</v>
      </c>
      <c r="B1048" t="str">
        <f t="shared" si="57"/>
        <v>102</v>
      </c>
      <c r="C1048" t="str">
        <f t="shared" si="58"/>
        <v>42</v>
      </c>
      <c r="D1048" t="str">
        <f>"1"</f>
        <v>1</v>
      </c>
      <c r="E1048" t="str">
        <f>"102-42-1"</f>
        <v>102-42-1</v>
      </c>
      <c r="F1048" t="s">
        <v>18</v>
      </c>
      <c r="G1048" t="s">
        <v>19</v>
      </c>
      <c r="H1048">
        <v>2</v>
      </c>
      <c r="I1048">
        <v>1</v>
      </c>
      <c r="J1048">
        <v>1</v>
      </c>
      <c r="K1048">
        <v>1</v>
      </c>
      <c r="L1048">
        <v>0</v>
      </c>
      <c r="M1048">
        <v>1</v>
      </c>
      <c r="N1048">
        <v>0</v>
      </c>
      <c r="O1048">
        <v>1</v>
      </c>
      <c r="P1048">
        <v>0</v>
      </c>
    </row>
    <row r="1049" spans="1:16" x14ac:dyDescent="0.25">
      <c r="A1049" t="str">
        <f>"1045"</f>
        <v>1045</v>
      </c>
      <c r="B1049" t="str">
        <f t="shared" si="57"/>
        <v>102</v>
      </c>
      <c r="C1049" t="str">
        <f t="shared" si="58"/>
        <v>42</v>
      </c>
      <c r="D1049" t="str">
        <f>"18"</f>
        <v>18</v>
      </c>
      <c r="E1049" t="str">
        <f>"102-42-18"</f>
        <v>102-42-18</v>
      </c>
      <c r="F1049" t="s">
        <v>18</v>
      </c>
      <c r="G1049" t="s">
        <v>19</v>
      </c>
      <c r="H1049">
        <v>2</v>
      </c>
      <c r="I1049">
        <v>1</v>
      </c>
      <c r="J1049">
        <v>1</v>
      </c>
      <c r="K1049">
        <v>0</v>
      </c>
      <c r="L1049">
        <v>1</v>
      </c>
      <c r="M1049">
        <v>0</v>
      </c>
      <c r="N1049">
        <v>1</v>
      </c>
      <c r="O1049">
        <v>1</v>
      </c>
      <c r="P1049">
        <v>0</v>
      </c>
    </row>
    <row r="1050" spans="1:16" x14ac:dyDescent="0.25">
      <c r="A1050" t="str">
        <f>"1046"</f>
        <v>1046</v>
      </c>
      <c r="B1050" t="str">
        <f t="shared" si="57"/>
        <v>102</v>
      </c>
      <c r="C1050" t="str">
        <f t="shared" si="58"/>
        <v>42</v>
      </c>
      <c r="D1050" t="str">
        <f>"2"</f>
        <v>2</v>
      </c>
      <c r="E1050" t="str">
        <f>"102-42-2"</f>
        <v>102-42-2</v>
      </c>
      <c r="F1050" t="s">
        <v>18</v>
      </c>
      <c r="G1050" t="s">
        <v>19</v>
      </c>
      <c r="H1050">
        <v>2</v>
      </c>
      <c r="I1050">
        <v>1</v>
      </c>
      <c r="J1050">
        <v>1</v>
      </c>
      <c r="K1050">
        <v>1</v>
      </c>
      <c r="L1050">
        <v>0</v>
      </c>
      <c r="M1050">
        <v>0</v>
      </c>
      <c r="N1050">
        <v>1</v>
      </c>
      <c r="O1050">
        <v>1</v>
      </c>
      <c r="P1050">
        <v>0</v>
      </c>
    </row>
    <row r="1051" spans="1:16" x14ac:dyDescent="0.25">
      <c r="A1051" t="str">
        <f>"1047"</f>
        <v>1047</v>
      </c>
      <c r="B1051" t="str">
        <f t="shared" si="57"/>
        <v>102</v>
      </c>
      <c r="C1051" t="str">
        <f t="shared" si="58"/>
        <v>42</v>
      </c>
      <c r="D1051" t="str">
        <f>"19"</f>
        <v>19</v>
      </c>
      <c r="E1051" t="str">
        <f>"102-42-19"</f>
        <v>102-42-19</v>
      </c>
      <c r="F1051" t="s">
        <v>18</v>
      </c>
      <c r="G1051" t="s">
        <v>19</v>
      </c>
      <c r="H1051">
        <v>2</v>
      </c>
      <c r="I1051">
        <v>0</v>
      </c>
      <c r="J1051">
        <v>1</v>
      </c>
      <c r="K1051">
        <v>1</v>
      </c>
      <c r="L1051">
        <v>0</v>
      </c>
      <c r="M1051">
        <v>1</v>
      </c>
      <c r="N1051">
        <v>0</v>
      </c>
      <c r="O1051">
        <v>0</v>
      </c>
      <c r="P1051">
        <v>1</v>
      </c>
    </row>
    <row r="1052" spans="1:16" x14ac:dyDescent="0.25">
      <c r="A1052" t="str">
        <f>"1048"</f>
        <v>1048</v>
      </c>
      <c r="B1052" t="str">
        <f t="shared" si="57"/>
        <v>102</v>
      </c>
      <c r="C1052" t="str">
        <f t="shared" si="58"/>
        <v>42</v>
      </c>
      <c r="D1052" t="str">
        <f>"10"</f>
        <v>10</v>
      </c>
      <c r="E1052" t="str">
        <f>"102-42-10"</f>
        <v>102-42-10</v>
      </c>
      <c r="F1052" t="s">
        <v>18</v>
      </c>
      <c r="G1052" t="s">
        <v>19</v>
      </c>
      <c r="H1052">
        <v>2</v>
      </c>
      <c r="I1052">
        <v>0</v>
      </c>
      <c r="J1052">
        <v>1</v>
      </c>
      <c r="K1052">
        <v>1</v>
      </c>
      <c r="L1052">
        <v>0</v>
      </c>
      <c r="M1052">
        <v>1</v>
      </c>
      <c r="N1052">
        <v>0</v>
      </c>
      <c r="O1052">
        <v>1</v>
      </c>
      <c r="P1052">
        <v>0</v>
      </c>
    </row>
    <row r="1053" spans="1:16" x14ac:dyDescent="0.25">
      <c r="A1053" t="str">
        <f>"1049"</f>
        <v>1049</v>
      </c>
      <c r="B1053" t="str">
        <f t="shared" si="57"/>
        <v>102</v>
      </c>
      <c r="C1053" t="str">
        <f t="shared" si="58"/>
        <v>42</v>
      </c>
      <c r="D1053" t="str">
        <f>"20"</f>
        <v>20</v>
      </c>
      <c r="E1053" t="str">
        <f>"102-42-20"</f>
        <v>102-42-20</v>
      </c>
      <c r="F1053" t="s">
        <v>18</v>
      </c>
      <c r="G1053" t="s">
        <v>19</v>
      </c>
      <c r="H1053">
        <v>2</v>
      </c>
      <c r="I1053">
        <v>1</v>
      </c>
      <c r="J1053">
        <v>1</v>
      </c>
      <c r="K1053">
        <v>1</v>
      </c>
      <c r="L1053">
        <v>0</v>
      </c>
      <c r="M1053">
        <v>1</v>
      </c>
      <c r="N1053">
        <v>0</v>
      </c>
      <c r="O1053">
        <v>1</v>
      </c>
      <c r="P1053">
        <v>0</v>
      </c>
    </row>
    <row r="1054" spans="1:16" x14ac:dyDescent="0.25">
      <c r="A1054" t="str">
        <f>"1050"</f>
        <v>1050</v>
      </c>
      <c r="B1054" t="str">
        <f t="shared" si="57"/>
        <v>102</v>
      </c>
      <c r="C1054" t="str">
        <f t="shared" si="58"/>
        <v>42</v>
      </c>
      <c r="D1054" t="str">
        <f>"3"</f>
        <v>3</v>
      </c>
      <c r="E1054" t="str">
        <f>"102-42-3"</f>
        <v>102-42-3</v>
      </c>
      <c r="F1054" t="s">
        <v>18</v>
      </c>
      <c r="G1054" t="s">
        <v>19</v>
      </c>
      <c r="H1054">
        <v>2</v>
      </c>
      <c r="I1054">
        <v>1</v>
      </c>
      <c r="J1054">
        <v>1</v>
      </c>
      <c r="K1054">
        <v>1</v>
      </c>
      <c r="L1054">
        <v>0</v>
      </c>
      <c r="M1054">
        <v>1</v>
      </c>
      <c r="N1054">
        <v>0</v>
      </c>
      <c r="O1054">
        <v>1</v>
      </c>
      <c r="P1054">
        <v>0</v>
      </c>
    </row>
    <row r="1055" spans="1:16" x14ac:dyDescent="0.25">
      <c r="A1055" t="str">
        <f>"1051"</f>
        <v>1051</v>
      </c>
      <c r="B1055" t="str">
        <f t="shared" si="57"/>
        <v>102</v>
      </c>
      <c r="C1055" t="str">
        <f t="shared" ref="C1055:C1079" si="59">"43"</f>
        <v>43</v>
      </c>
      <c r="D1055" t="str">
        <f>"21"</f>
        <v>21</v>
      </c>
      <c r="E1055" t="str">
        <f>"102-43-21"</f>
        <v>102-43-21</v>
      </c>
      <c r="F1055" t="s">
        <v>18</v>
      </c>
      <c r="G1055" t="s">
        <v>20</v>
      </c>
      <c r="H1055">
        <v>1</v>
      </c>
      <c r="K1055">
        <v>1</v>
      </c>
      <c r="L1055">
        <v>0</v>
      </c>
      <c r="M1055">
        <v>1</v>
      </c>
      <c r="N1055">
        <v>0</v>
      </c>
    </row>
    <row r="1056" spans="1:16" x14ac:dyDescent="0.25">
      <c r="A1056" t="str">
        <f>"1052"</f>
        <v>1052</v>
      </c>
      <c r="B1056" t="str">
        <f t="shared" si="57"/>
        <v>102</v>
      </c>
      <c r="C1056" t="str">
        <f t="shared" si="59"/>
        <v>43</v>
      </c>
      <c r="D1056" t="str">
        <f>"11"</f>
        <v>11</v>
      </c>
      <c r="E1056" t="str">
        <f>"102-43-11"</f>
        <v>102-43-11</v>
      </c>
      <c r="F1056" t="s">
        <v>18</v>
      </c>
      <c r="G1056" t="s">
        <v>20</v>
      </c>
      <c r="H1056">
        <v>1</v>
      </c>
      <c r="K1056">
        <v>0</v>
      </c>
      <c r="L1056">
        <v>1</v>
      </c>
      <c r="M1056">
        <v>0</v>
      </c>
      <c r="N1056">
        <v>1</v>
      </c>
    </row>
    <row r="1057" spans="1:14" x14ac:dyDescent="0.25">
      <c r="A1057" t="str">
        <f>"1053"</f>
        <v>1053</v>
      </c>
      <c r="B1057" t="str">
        <f t="shared" si="57"/>
        <v>102</v>
      </c>
      <c r="C1057" t="str">
        <f t="shared" si="59"/>
        <v>43</v>
      </c>
      <c r="D1057" t="str">
        <f>"2"</f>
        <v>2</v>
      </c>
      <c r="E1057" t="str">
        <f>"102-43-2"</f>
        <v>102-43-2</v>
      </c>
      <c r="F1057" t="s">
        <v>18</v>
      </c>
      <c r="G1057" t="s">
        <v>20</v>
      </c>
      <c r="H1057">
        <v>1</v>
      </c>
      <c r="K1057">
        <v>0</v>
      </c>
      <c r="L1057">
        <v>1</v>
      </c>
      <c r="M1057">
        <v>0</v>
      </c>
      <c r="N1057">
        <v>1</v>
      </c>
    </row>
    <row r="1058" spans="1:14" x14ac:dyDescent="0.25">
      <c r="A1058" t="str">
        <f>"1054"</f>
        <v>1054</v>
      </c>
      <c r="B1058" t="str">
        <f t="shared" si="57"/>
        <v>102</v>
      </c>
      <c r="C1058" t="str">
        <f t="shared" si="59"/>
        <v>43</v>
      </c>
      <c r="D1058" t="str">
        <f>"25"</f>
        <v>25</v>
      </c>
      <c r="E1058" t="str">
        <f>"102-43-25"</f>
        <v>102-43-25</v>
      </c>
      <c r="F1058" t="s">
        <v>18</v>
      </c>
      <c r="G1058" t="s">
        <v>20</v>
      </c>
      <c r="H1058">
        <v>1</v>
      </c>
      <c r="K1058">
        <v>1</v>
      </c>
      <c r="L1058">
        <v>0</v>
      </c>
      <c r="M1058">
        <v>1</v>
      </c>
      <c r="N1058">
        <v>0</v>
      </c>
    </row>
    <row r="1059" spans="1:14" x14ac:dyDescent="0.25">
      <c r="A1059" t="str">
        <f>"1055"</f>
        <v>1055</v>
      </c>
      <c r="B1059" t="str">
        <f t="shared" si="57"/>
        <v>102</v>
      </c>
      <c r="C1059" t="str">
        <f t="shared" si="59"/>
        <v>43</v>
      </c>
      <c r="D1059" t="str">
        <f>"12"</f>
        <v>12</v>
      </c>
      <c r="E1059" t="str">
        <f>"102-43-12"</f>
        <v>102-43-12</v>
      </c>
      <c r="F1059" t="s">
        <v>18</v>
      </c>
      <c r="G1059" t="s">
        <v>20</v>
      </c>
      <c r="H1059">
        <v>1</v>
      </c>
      <c r="K1059">
        <v>1</v>
      </c>
      <c r="L1059">
        <v>0</v>
      </c>
      <c r="M1059">
        <v>1</v>
      </c>
      <c r="N1059">
        <v>0</v>
      </c>
    </row>
    <row r="1060" spans="1:14" x14ac:dyDescent="0.25">
      <c r="A1060" t="str">
        <f>"1056"</f>
        <v>1056</v>
      </c>
      <c r="B1060" t="str">
        <f t="shared" si="57"/>
        <v>102</v>
      </c>
      <c r="C1060" t="str">
        <f t="shared" si="59"/>
        <v>43</v>
      </c>
      <c r="D1060" t="str">
        <f>"1"</f>
        <v>1</v>
      </c>
      <c r="E1060" t="str">
        <f>"102-43-1"</f>
        <v>102-43-1</v>
      </c>
      <c r="F1060" t="s">
        <v>18</v>
      </c>
      <c r="G1060" t="s">
        <v>20</v>
      </c>
      <c r="H1060">
        <v>1</v>
      </c>
      <c r="K1060">
        <v>0</v>
      </c>
      <c r="L1060">
        <v>1</v>
      </c>
      <c r="M1060">
        <v>0</v>
      </c>
      <c r="N1060">
        <v>1</v>
      </c>
    </row>
    <row r="1061" spans="1:14" x14ac:dyDescent="0.25">
      <c r="A1061" t="str">
        <f>"1057"</f>
        <v>1057</v>
      </c>
      <c r="B1061" t="str">
        <f t="shared" si="57"/>
        <v>102</v>
      </c>
      <c r="C1061" t="str">
        <f t="shared" si="59"/>
        <v>43</v>
      </c>
      <c r="D1061" t="str">
        <f>"22"</f>
        <v>22</v>
      </c>
      <c r="E1061" t="str">
        <f>"102-43-22"</f>
        <v>102-43-22</v>
      </c>
      <c r="F1061" t="s">
        <v>18</v>
      </c>
      <c r="G1061" t="s">
        <v>20</v>
      </c>
      <c r="H1061">
        <v>1</v>
      </c>
      <c r="K1061">
        <v>1</v>
      </c>
      <c r="L1061">
        <v>0</v>
      </c>
      <c r="M1061">
        <v>1</v>
      </c>
      <c r="N1061">
        <v>0</v>
      </c>
    </row>
    <row r="1062" spans="1:14" x14ac:dyDescent="0.25">
      <c r="A1062" t="str">
        <f>"1058"</f>
        <v>1058</v>
      </c>
      <c r="B1062" t="str">
        <f t="shared" si="57"/>
        <v>102</v>
      </c>
      <c r="C1062" t="str">
        <f t="shared" si="59"/>
        <v>43</v>
      </c>
      <c r="D1062" t="str">
        <f>"13"</f>
        <v>13</v>
      </c>
      <c r="E1062" t="str">
        <f>"102-43-13"</f>
        <v>102-43-13</v>
      </c>
      <c r="F1062" t="s">
        <v>18</v>
      </c>
      <c r="G1062" t="s">
        <v>20</v>
      </c>
      <c r="H1062">
        <v>1</v>
      </c>
      <c r="K1062">
        <v>1</v>
      </c>
      <c r="L1062">
        <v>0</v>
      </c>
      <c r="M1062">
        <v>0</v>
      </c>
      <c r="N1062">
        <v>0</v>
      </c>
    </row>
    <row r="1063" spans="1:14" x14ac:dyDescent="0.25">
      <c r="A1063" t="str">
        <f>"1059"</f>
        <v>1059</v>
      </c>
      <c r="B1063" t="str">
        <f t="shared" si="57"/>
        <v>102</v>
      </c>
      <c r="C1063" t="str">
        <f t="shared" si="59"/>
        <v>43</v>
      </c>
      <c r="D1063" t="str">
        <f>"6"</f>
        <v>6</v>
      </c>
      <c r="E1063" t="str">
        <f>"102-43-6"</f>
        <v>102-43-6</v>
      </c>
      <c r="F1063" t="s">
        <v>18</v>
      </c>
      <c r="G1063" t="s">
        <v>20</v>
      </c>
      <c r="H1063">
        <v>1</v>
      </c>
      <c r="K1063">
        <v>1</v>
      </c>
      <c r="L1063">
        <v>0</v>
      </c>
      <c r="M1063">
        <v>0</v>
      </c>
      <c r="N1063">
        <v>1</v>
      </c>
    </row>
    <row r="1064" spans="1:14" x14ac:dyDescent="0.25">
      <c r="A1064" t="str">
        <f>"1060"</f>
        <v>1060</v>
      </c>
      <c r="B1064" t="str">
        <f t="shared" si="57"/>
        <v>102</v>
      </c>
      <c r="C1064" t="str">
        <f t="shared" si="59"/>
        <v>43</v>
      </c>
      <c r="D1064" t="str">
        <f>"23"</f>
        <v>23</v>
      </c>
      <c r="E1064" t="str">
        <f>"102-43-23"</f>
        <v>102-43-23</v>
      </c>
      <c r="F1064" t="s">
        <v>18</v>
      </c>
      <c r="G1064" t="s">
        <v>20</v>
      </c>
      <c r="H1064">
        <v>1</v>
      </c>
      <c r="K1064">
        <v>0</v>
      </c>
      <c r="L1064">
        <v>1</v>
      </c>
      <c r="M1064">
        <v>0</v>
      </c>
      <c r="N1064">
        <v>1</v>
      </c>
    </row>
    <row r="1065" spans="1:14" x14ac:dyDescent="0.25">
      <c r="A1065" t="str">
        <f>"1061"</f>
        <v>1061</v>
      </c>
      <c r="B1065" t="str">
        <f t="shared" si="57"/>
        <v>102</v>
      </c>
      <c r="C1065" t="str">
        <f t="shared" si="59"/>
        <v>43</v>
      </c>
      <c r="D1065" t="str">
        <f>"14"</f>
        <v>14</v>
      </c>
      <c r="E1065" t="str">
        <f>"102-43-14"</f>
        <v>102-43-14</v>
      </c>
      <c r="F1065" t="s">
        <v>18</v>
      </c>
      <c r="G1065" t="s">
        <v>20</v>
      </c>
      <c r="H1065">
        <v>1</v>
      </c>
      <c r="K1065">
        <v>1</v>
      </c>
      <c r="L1065">
        <v>0</v>
      </c>
      <c r="M1065">
        <v>0</v>
      </c>
      <c r="N1065">
        <v>1</v>
      </c>
    </row>
    <row r="1066" spans="1:14" x14ac:dyDescent="0.25">
      <c r="A1066" t="str">
        <f>"1062"</f>
        <v>1062</v>
      </c>
      <c r="B1066" t="str">
        <f t="shared" si="57"/>
        <v>102</v>
      </c>
      <c r="C1066" t="str">
        <f t="shared" si="59"/>
        <v>43</v>
      </c>
      <c r="D1066" t="str">
        <f>"7"</f>
        <v>7</v>
      </c>
      <c r="E1066" t="str">
        <f>"102-43-7"</f>
        <v>102-43-7</v>
      </c>
      <c r="F1066" t="s">
        <v>18</v>
      </c>
      <c r="G1066" t="s">
        <v>20</v>
      </c>
      <c r="H1066">
        <v>1</v>
      </c>
      <c r="K1066">
        <v>0</v>
      </c>
      <c r="L1066">
        <v>1</v>
      </c>
      <c r="M1066">
        <v>0</v>
      </c>
      <c r="N1066">
        <v>1</v>
      </c>
    </row>
    <row r="1067" spans="1:14" x14ac:dyDescent="0.25">
      <c r="A1067" t="str">
        <f>"1063"</f>
        <v>1063</v>
      </c>
      <c r="B1067" t="str">
        <f t="shared" si="57"/>
        <v>102</v>
      </c>
      <c r="C1067" t="str">
        <f t="shared" si="59"/>
        <v>43</v>
      </c>
      <c r="D1067" t="str">
        <f>"15"</f>
        <v>15</v>
      </c>
      <c r="E1067" t="str">
        <f>"102-43-15"</f>
        <v>102-43-15</v>
      </c>
      <c r="F1067" t="s">
        <v>18</v>
      </c>
      <c r="G1067" t="s">
        <v>20</v>
      </c>
      <c r="H1067">
        <v>1</v>
      </c>
      <c r="K1067">
        <v>0</v>
      </c>
      <c r="L1067">
        <v>1</v>
      </c>
      <c r="M1067">
        <v>0</v>
      </c>
      <c r="N1067">
        <v>1</v>
      </c>
    </row>
    <row r="1068" spans="1:14" x14ac:dyDescent="0.25">
      <c r="A1068" t="str">
        <f>"1064"</f>
        <v>1064</v>
      </c>
      <c r="B1068" t="str">
        <f t="shared" si="57"/>
        <v>102</v>
      </c>
      <c r="C1068" t="str">
        <f t="shared" si="59"/>
        <v>43</v>
      </c>
      <c r="D1068" t="str">
        <f>"8"</f>
        <v>8</v>
      </c>
      <c r="E1068" t="str">
        <f>"102-43-8"</f>
        <v>102-43-8</v>
      </c>
      <c r="F1068" t="s">
        <v>18</v>
      </c>
      <c r="G1068" t="s">
        <v>20</v>
      </c>
      <c r="H1068">
        <v>1</v>
      </c>
      <c r="K1068">
        <v>0</v>
      </c>
      <c r="L1068">
        <v>1</v>
      </c>
      <c r="M1068">
        <v>0</v>
      </c>
      <c r="N1068">
        <v>1</v>
      </c>
    </row>
    <row r="1069" spans="1:14" x14ac:dyDescent="0.25">
      <c r="A1069" t="str">
        <f>"1065"</f>
        <v>1065</v>
      </c>
      <c r="B1069" t="str">
        <f t="shared" si="57"/>
        <v>102</v>
      </c>
      <c r="C1069" t="str">
        <f t="shared" si="59"/>
        <v>43</v>
      </c>
      <c r="D1069" t="str">
        <f>"16"</f>
        <v>16</v>
      </c>
      <c r="E1069" t="str">
        <f>"102-43-16"</f>
        <v>102-43-16</v>
      </c>
      <c r="F1069" t="s">
        <v>18</v>
      </c>
      <c r="G1069" t="s">
        <v>20</v>
      </c>
      <c r="H1069">
        <v>1</v>
      </c>
      <c r="K1069">
        <v>0</v>
      </c>
      <c r="L1069">
        <v>1</v>
      </c>
      <c r="M1069">
        <v>0</v>
      </c>
      <c r="N1069">
        <v>1</v>
      </c>
    </row>
    <row r="1070" spans="1:14" x14ac:dyDescent="0.25">
      <c r="A1070" t="str">
        <f>"1066"</f>
        <v>1066</v>
      </c>
      <c r="B1070" t="str">
        <f t="shared" si="57"/>
        <v>102</v>
      </c>
      <c r="C1070" t="str">
        <f t="shared" si="59"/>
        <v>43</v>
      </c>
      <c r="D1070" t="str">
        <f>"3"</f>
        <v>3</v>
      </c>
      <c r="E1070" t="str">
        <f>"102-43-3"</f>
        <v>102-43-3</v>
      </c>
      <c r="F1070" t="s">
        <v>18</v>
      </c>
      <c r="G1070" t="s">
        <v>20</v>
      </c>
      <c r="H1070">
        <v>1</v>
      </c>
      <c r="K1070">
        <v>0</v>
      </c>
      <c r="L1070">
        <v>1</v>
      </c>
      <c r="M1070">
        <v>0</v>
      </c>
      <c r="N1070">
        <v>1</v>
      </c>
    </row>
    <row r="1071" spans="1:14" x14ac:dyDescent="0.25">
      <c r="A1071" t="str">
        <f>"1067"</f>
        <v>1067</v>
      </c>
      <c r="B1071" t="str">
        <f t="shared" si="57"/>
        <v>102</v>
      </c>
      <c r="C1071" t="str">
        <f t="shared" si="59"/>
        <v>43</v>
      </c>
      <c r="D1071" t="str">
        <f>"24"</f>
        <v>24</v>
      </c>
      <c r="E1071" t="str">
        <f>"102-43-24"</f>
        <v>102-43-24</v>
      </c>
      <c r="F1071" t="s">
        <v>18</v>
      </c>
      <c r="G1071" t="s">
        <v>20</v>
      </c>
      <c r="H1071">
        <v>1</v>
      </c>
      <c r="K1071">
        <v>1</v>
      </c>
      <c r="L1071">
        <v>0</v>
      </c>
      <c r="M1071">
        <v>0</v>
      </c>
      <c r="N1071">
        <v>1</v>
      </c>
    </row>
    <row r="1072" spans="1:14" x14ac:dyDescent="0.25">
      <c r="A1072" t="str">
        <f>"1068"</f>
        <v>1068</v>
      </c>
      <c r="B1072" t="str">
        <f t="shared" si="57"/>
        <v>102</v>
      </c>
      <c r="C1072" t="str">
        <f t="shared" si="59"/>
        <v>43</v>
      </c>
      <c r="D1072" t="str">
        <f>"17"</f>
        <v>17</v>
      </c>
      <c r="E1072" t="str">
        <f>"102-43-17"</f>
        <v>102-43-17</v>
      </c>
      <c r="F1072" t="s">
        <v>18</v>
      </c>
      <c r="G1072" t="s">
        <v>20</v>
      </c>
      <c r="H1072">
        <v>1</v>
      </c>
      <c r="K1072">
        <v>1</v>
      </c>
      <c r="L1072">
        <v>0</v>
      </c>
      <c r="M1072">
        <v>0</v>
      </c>
      <c r="N1072">
        <v>1</v>
      </c>
    </row>
    <row r="1073" spans="1:16" x14ac:dyDescent="0.25">
      <c r="A1073" t="str">
        <f>"1069"</f>
        <v>1069</v>
      </c>
      <c r="B1073" t="str">
        <f t="shared" si="57"/>
        <v>102</v>
      </c>
      <c r="C1073" t="str">
        <f t="shared" si="59"/>
        <v>43</v>
      </c>
      <c r="D1073" t="str">
        <f>"5"</f>
        <v>5</v>
      </c>
      <c r="E1073" t="str">
        <f>"102-43-5"</f>
        <v>102-43-5</v>
      </c>
      <c r="F1073" t="s">
        <v>18</v>
      </c>
      <c r="G1073" t="s">
        <v>19</v>
      </c>
      <c r="H1073">
        <v>2</v>
      </c>
      <c r="I1073">
        <v>0</v>
      </c>
      <c r="J1073">
        <v>1</v>
      </c>
      <c r="K1073">
        <v>0</v>
      </c>
      <c r="L1073">
        <v>1</v>
      </c>
      <c r="M1073">
        <v>0</v>
      </c>
      <c r="N1073">
        <v>1</v>
      </c>
      <c r="O1073">
        <v>0</v>
      </c>
      <c r="P1073">
        <v>1</v>
      </c>
    </row>
    <row r="1074" spans="1:16" x14ac:dyDescent="0.25">
      <c r="A1074" t="str">
        <f>"1070"</f>
        <v>1070</v>
      </c>
      <c r="B1074" t="str">
        <f t="shared" si="57"/>
        <v>102</v>
      </c>
      <c r="C1074" t="str">
        <f t="shared" si="59"/>
        <v>43</v>
      </c>
      <c r="D1074" t="str">
        <f>"10"</f>
        <v>10</v>
      </c>
      <c r="E1074" t="str">
        <f>"102-43-10"</f>
        <v>102-43-10</v>
      </c>
      <c r="F1074" t="s">
        <v>18</v>
      </c>
      <c r="G1074" t="s">
        <v>19</v>
      </c>
      <c r="H1074">
        <v>2</v>
      </c>
      <c r="I1074">
        <v>0</v>
      </c>
      <c r="J1074">
        <v>1</v>
      </c>
      <c r="K1074">
        <v>0</v>
      </c>
      <c r="L1074">
        <v>1</v>
      </c>
      <c r="M1074">
        <v>0</v>
      </c>
      <c r="N1074">
        <v>1</v>
      </c>
      <c r="O1074">
        <v>0</v>
      </c>
      <c r="P1074">
        <v>1</v>
      </c>
    </row>
    <row r="1075" spans="1:16" x14ac:dyDescent="0.25">
      <c r="A1075" t="str">
        <f>"1071"</f>
        <v>1071</v>
      </c>
      <c r="B1075" t="str">
        <f t="shared" si="57"/>
        <v>102</v>
      </c>
      <c r="C1075" t="str">
        <f t="shared" si="59"/>
        <v>43</v>
      </c>
      <c r="D1075" t="str">
        <f>"19"</f>
        <v>19</v>
      </c>
      <c r="E1075" t="str">
        <f>"102-43-19"</f>
        <v>102-43-19</v>
      </c>
      <c r="F1075" t="s">
        <v>18</v>
      </c>
      <c r="G1075" t="s">
        <v>20</v>
      </c>
      <c r="H1075">
        <v>1</v>
      </c>
      <c r="K1075">
        <v>1</v>
      </c>
      <c r="L1075">
        <v>0</v>
      </c>
      <c r="M1075">
        <v>0</v>
      </c>
      <c r="N1075">
        <v>1</v>
      </c>
    </row>
    <row r="1076" spans="1:16" x14ac:dyDescent="0.25">
      <c r="A1076" t="str">
        <f>"1072"</f>
        <v>1072</v>
      </c>
      <c r="B1076" t="str">
        <f t="shared" si="57"/>
        <v>102</v>
      </c>
      <c r="C1076" t="str">
        <f t="shared" si="59"/>
        <v>43</v>
      </c>
      <c r="D1076" t="str">
        <f>"4"</f>
        <v>4</v>
      </c>
      <c r="E1076" t="str">
        <f>"102-43-4"</f>
        <v>102-43-4</v>
      </c>
      <c r="F1076" t="s">
        <v>18</v>
      </c>
      <c r="G1076" t="s">
        <v>19</v>
      </c>
      <c r="H1076">
        <v>2</v>
      </c>
      <c r="I1076">
        <v>1</v>
      </c>
      <c r="J1076">
        <v>1</v>
      </c>
      <c r="K1076">
        <v>1</v>
      </c>
      <c r="L1076">
        <v>0</v>
      </c>
      <c r="M1076">
        <v>1</v>
      </c>
      <c r="N1076">
        <v>0</v>
      </c>
      <c r="O1076">
        <v>1</v>
      </c>
      <c r="P1076">
        <v>0</v>
      </c>
    </row>
    <row r="1077" spans="1:16" x14ac:dyDescent="0.25">
      <c r="A1077" t="str">
        <f>"1073"</f>
        <v>1073</v>
      </c>
      <c r="B1077" t="str">
        <f t="shared" si="57"/>
        <v>102</v>
      </c>
      <c r="C1077" t="str">
        <f t="shared" si="59"/>
        <v>43</v>
      </c>
      <c r="D1077" t="str">
        <f>"20"</f>
        <v>20</v>
      </c>
      <c r="E1077" t="str">
        <f>"102-43-20"</f>
        <v>102-43-20</v>
      </c>
      <c r="F1077" t="s">
        <v>18</v>
      </c>
      <c r="G1077" t="s">
        <v>20</v>
      </c>
      <c r="H1077">
        <v>1</v>
      </c>
      <c r="K1077">
        <v>0</v>
      </c>
      <c r="L1077">
        <v>1</v>
      </c>
      <c r="M1077">
        <v>0</v>
      </c>
      <c r="N1077">
        <v>1</v>
      </c>
    </row>
    <row r="1078" spans="1:16" x14ac:dyDescent="0.25">
      <c r="A1078" t="str">
        <f>"1074"</f>
        <v>1074</v>
      </c>
      <c r="B1078" t="str">
        <f t="shared" si="57"/>
        <v>102</v>
      </c>
      <c r="C1078" t="str">
        <f t="shared" si="59"/>
        <v>43</v>
      </c>
      <c r="D1078" t="str">
        <f>"9"</f>
        <v>9</v>
      </c>
      <c r="E1078" t="str">
        <f>"102-43-9"</f>
        <v>102-43-9</v>
      </c>
      <c r="F1078" t="s">
        <v>18</v>
      </c>
      <c r="G1078" t="s">
        <v>19</v>
      </c>
      <c r="H1078">
        <v>2</v>
      </c>
      <c r="I1078">
        <v>0</v>
      </c>
      <c r="J1078">
        <v>0</v>
      </c>
      <c r="K1078">
        <v>1</v>
      </c>
      <c r="L1078">
        <v>0</v>
      </c>
      <c r="M1078">
        <v>1</v>
      </c>
      <c r="N1078">
        <v>0</v>
      </c>
      <c r="O1078">
        <v>1</v>
      </c>
      <c r="P1078">
        <v>0</v>
      </c>
    </row>
    <row r="1079" spans="1:16" x14ac:dyDescent="0.25">
      <c r="A1079" t="str">
        <f>"1075"</f>
        <v>1075</v>
      </c>
      <c r="B1079" t="str">
        <f t="shared" si="57"/>
        <v>102</v>
      </c>
      <c r="C1079" t="str">
        <f t="shared" si="59"/>
        <v>43</v>
      </c>
      <c r="D1079" t="str">
        <f>"18"</f>
        <v>18</v>
      </c>
      <c r="E1079" t="str">
        <f>"102-43-18"</f>
        <v>102-43-18</v>
      </c>
      <c r="F1079" t="s">
        <v>18</v>
      </c>
      <c r="G1079" t="s">
        <v>20</v>
      </c>
      <c r="H1079">
        <v>1</v>
      </c>
      <c r="K1079">
        <v>0</v>
      </c>
      <c r="L1079">
        <v>1</v>
      </c>
      <c r="M1079">
        <v>1</v>
      </c>
      <c r="N1079">
        <v>0</v>
      </c>
    </row>
    <row r="1080" spans="1:16" x14ac:dyDescent="0.25">
      <c r="A1080" t="str">
        <f>"1076"</f>
        <v>1076</v>
      </c>
      <c r="B1080" t="str">
        <f t="shared" si="57"/>
        <v>102</v>
      </c>
      <c r="C1080" t="str">
        <f t="shared" ref="C1080:C1104" si="60">"44"</f>
        <v>44</v>
      </c>
      <c r="D1080" t="str">
        <f>"14"</f>
        <v>14</v>
      </c>
      <c r="E1080" t="str">
        <f>"102-44-14"</f>
        <v>102-44-14</v>
      </c>
      <c r="F1080" t="s">
        <v>18</v>
      </c>
      <c r="G1080" t="s">
        <v>19</v>
      </c>
      <c r="H1080">
        <v>2</v>
      </c>
      <c r="I1080">
        <v>1</v>
      </c>
      <c r="J1080">
        <v>1</v>
      </c>
      <c r="K1080">
        <v>0</v>
      </c>
      <c r="L1080">
        <v>1</v>
      </c>
      <c r="M1080">
        <v>0</v>
      </c>
      <c r="N1080">
        <v>1</v>
      </c>
      <c r="O1080">
        <v>0</v>
      </c>
      <c r="P1080">
        <v>1</v>
      </c>
    </row>
    <row r="1081" spans="1:16" x14ac:dyDescent="0.25">
      <c r="A1081" t="str">
        <f>"1077"</f>
        <v>1077</v>
      </c>
      <c r="B1081" t="str">
        <f t="shared" si="57"/>
        <v>102</v>
      </c>
      <c r="C1081" t="str">
        <f t="shared" si="60"/>
        <v>44</v>
      </c>
      <c r="D1081" t="str">
        <f>"4"</f>
        <v>4</v>
      </c>
      <c r="E1081" t="str">
        <f>"102-44-4"</f>
        <v>102-44-4</v>
      </c>
      <c r="F1081" t="s">
        <v>18</v>
      </c>
      <c r="G1081" t="s">
        <v>20</v>
      </c>
      <c r="H1081">
        <v>1</v>
      </c>
      <c r="K1081">
        <v>0</v>
      </c>
      <c r="L1081">
        <v>1</v>
      </c>
      <c r="M1081">
        <v>0</v>
      </c>
      <c r="N1081">
        <v>1</v>
      </c>
    </row>
    <row r="1082" spans="1:16" x14ac:dyDescent="0.25">
      <c r="A1082" t="str">
        <f>"1078"</f>
        <v>1078</v>
      </c>
      <c r="B1082" t="str">
        <f t="shared" si="57"/>
        <v>102</v>
      </c>
      <c r="C1082" t="str">
        <f t="shared" si="60"/>
        <v>44</v>
      </c>
      <c r="D1082" t="str">
        <f>"3"</f>
        <v>3</v>
      </c>
      <c r="E1082" t="str">
        <f>"102-44-3"</f>
        <v>102-44-3</v>
      </c>
      <c r="F1082" t="s">
        <v>18</v>
      </c>
      <c r="G1082" t="s">
        <v>20</v>
      </c>
      <c r="H1082">
        <v>1</v>
      </c>
      <c r="K1082">
        <v>0</v>
      </c>
      <c r="L1082">
        <v>1</v>
      </c>
      <c r="M1082">
        <v>0</v>
      </c>
      <c r="N1082">
        <v>1</v>
      </c>
    </row>
    <row r="1083" spans="1:16" x14ac:dyDescent="0.25">
      <c r="A1083" t="str">
        <f>"1079"</f>
        <v>1079</v>
      </c>
      <c r="B1083" t="str">
        <f t="shared" si="57"/>
        <v>102</v>
      </c>
      <c r="C1083" t="str">
        <f t="shared" si="60"/>
        <v>44</v>
      </c>
      <c r="D1083" t="str">
        <f>"21"</f>
        <v>21</v>
      </c>
      <c r="E1083" t="str">
        <f>"102-44-21"</f>
        <v>102-44-21</v>
      </c>
      <c r="F1083" t="s">
        <v>18</v>
      </c>
      <c r="G1083" t="s">
        <v>20</v>
      </c>
      <c r="H1083">
        <v>1</v>
      </c>
      <c r="K1083">
        <v>0</v>
      </c>
      <c r="L1083">
        <v>1</v>
      </c>
      <c r="M1083">
        <v>0</v>
      </c>
      <c r="N1083">
        <v>1</v>
      </c>
    </row>
    <row r="1084" spans="1:16" x14ac:dyDescent="0.25">
      <c r="A1084" t="str">
        <f>"1080"</f>
        <v>1080</v>
      </c>
      <c r="B1084" t="str">
        <f t="shared" si="57"/>
        <v>102</v>
      </c>
      <c r="C1084" t="str">
        <f t="shared" si="60"/>
        <v>44</v>
      </c>
      <c r="D1084" t="str">
        <f>"20"</f>
        <v>20</v>
      </c>
      <c r="E1084" t="str">
        <f>"102-44-20"</f>
        <v>102-44-20</v>
      </c>
      <c r="F1084" t="s">
        <v>18</v>
      </c>
      <c r="G1084" t="s">
        <v>19</v>
      </c>
      <c r="H1084">
        <v>2</v>
      </c>
      <c r="I1084">
        <v>1</v>
      </c>
      <c r="J1084">
        <v>1</v>
      </c>
      <c r="K1084">
        <v>1</v>
      </c>
      <c r="L1084">
        <v>0</v>
      </c>
      <c r="M1084">
        <v>0</v>
      </c>
      <c r="N1084">
        <v>1</v>
      </c>
      <c r="O1084">
        <v>1</v>
      </c>
      <c r="P1084">
        <v>0</v>
      </c>
    </row>
    <row r="1085" spans="1:16" x14ac:dyDescent="0.25">
      <c r="A1085" t="str">
        <f>"1081"</f>
        <v>1081</v>
      </c>
      <c r="B1085" t="str">
        <f t="shared" si="57"/>
        <v>102</v>
      </c>
      <c r="C1085" t="str">
        <f t="shared" si="60"/>
        <v>44</v>
      </c>
      <c r="D1085" t="str">
        <f>"15"</f>
        <v>15</v>
      </c>
      <c r="E1085" t="str">
        <f>"102-44-15"</f>
        <v>102-44-15</v>
      </c>
      <c r="F1085" t="s">
        <v>18</v>
      </c>
      <c r="G1085" t="s">
        <v>20</v>
      </c>
      <c r="H1085">
        <v>1</v>
      </c>
      <c r="K1085">
        <v>1</v>
      </c>
      <c r="L1085">
        <v>0</v>
      </c>
      <c r="M1085">
        <v>1</v>
      </c>
      <c r="N1085">
        <v>0</v>
      </c>
    </row>
    <row r="1086" spans="1:16" x14ac:dyDescent="0.25">
      <c r="A1086" t="str">
        <f>"1082"</f>
        <v>1082</v>
      </c>
      <c r="B1086" t="str">
        <f t="shared" si="57"/>
        <v>102</v>
      </c>
      <c r="C1086" t="str">
        <f t="shared" si="60"/>
        <v>44</v>
      </c>
      <c r="D1086" t="str">
        <f>"5"</f>
        <v>5</v>
      </c>
      <c r="E1086" t="str">
        <f>"102-44-5"</f>
        <v>102-44-5</v>
      </c>
      <c r="F1086" t="s">
        <v>18</v>
      </c>
      <c r="G1086" t="s">
        <v>20</v>
      </c>
      <c r="H1086">
        <v>1</v>
      </c>
      <c r="K1086">
        <v>0</v>
      </c>
      <c r="L1086">
        <v>1</v>
      </c>
      <c r="M1086">
        <v>0</v>
      </c>
      <c r="N1086">
        <v>1</v>
      </c>
    </row>
    <row r="1087" spans="1:16" x14ac:dyDescent="0.25">
      <c r="A1087" t="str">
        <f>"1083"</f>
        <v>1083</v>
      </c>
      <c r="B1087" t="str">
        <f t="shared" si="57"/>
        <v>102</v>
      </c>
      <c r="C1087" t="str">
        <f t="shared" si="60"/>
        <v>44</v>
      </c>
      <c r="D1087" t="str">
        <f>"2"</f>
        <v>2</v>
      </c>
      <c r="E1087" t="str">
        <f>"102-44-2"</f>
        <v>102-44-2</v>
      </c>
      <c r="F1087" t="s">
        <v>18</v>
      </c>
      <c r="G1087" t="s">
        <v>19</v>
      </c>
      <c r="H1087">
        <v>2</v>
      </c>
      <c r="I1087">
        <v>1</v>
      </c>
      <c r="J1087">
        <v>0</v>
      </c>
      <c r="K1087">
        <v>0</v>
      </c>
      <c r="L1087">
        <v>1</v>
      </c>
      <c r="M1087">
        <v>0</v>
      </c>
      <c r="N1087">
        <v>1</v>
      </c>
      <c r="O1087">
        <v>1</v>
      </c>
      <c r="P1087">
        <v>0</v>
      </c>
    </row>
    <row r="1088" spans="1:16" x14ac:dyDescent="0.25">
      <c r="A1088" t="str">
        <f>"1084"</f>
        <v>1084</v>
      </c>
      <c r="B1088" t="str">
        <f t="shared" si="57"/>
        <v>102</v>
      </c>
      <c r="C1088" t="str">
        <f t="shared" si="60"/>
        <v>44</v>
      </c>
      <c r="D1088" t="str">
        <f>"17"</f>
        <v>17</v>
      </c>
      <c r="E1088" t="str">
        <f>"102-44-17"</f>
        <v>102-44-17</v>
      </c>
      <c r="F1088" t="s">
        <v>18</v>
      </c>
      <c r="G1088" t="s">
        <v>20</v>
      </c>
      <c r="H1088">
        <v>1</v>
      </c>
      <c r="K1088">
        <v>0</v>
      </c>
      <c r="L1088">
        <v>1</v>
      </c>
      <c r="M1088">
        <v>0</v>
      </c>
      <c r="N1088">
        <v>1</v>
      </c>
    </row>
    <row r="1089" spans="1:16" x14ac:dyDescent="0.25">
      <c r="A1089" t="str">
        <f>"1085"</f>
        <v>1085</v>
      </c>
      <c r="B1089" t="str">
        <f t="shared" si="57"/>
        <v>102</v>
      </c>
      <c r="C1089" t="str">
        <f t="shared" si="60"/>
        <v>44</v>
      </c>
      <c r="D1089" t="str">
        <f>"6"</f>
        <v>6</v>
      </c>
      <c r="E1089" t="str">
        <f>"102-44-6"</f>
        <v>102-44-6</v>
      </c>
      <c r="F1089" t="s">
        <v>18</v>
      </c>
      <c r="G1089" t="s">
        <v>19</v>
      </c>
      <c r="H1089">
        <v>2</v>
      </c>
      <c r="I1089">
        <v>1</v>
      </c>
      <c r="J1089">
        <v>0</v>
      </c>
      <c r="K1089">
        <v>1</v>
      </c>
      <c r="L1089">
        <v>0</v>
      </c>
      <c r="M1089">
        <v>1</v>
      </c>
      <c r="N1089">
        <v>0</v>
      </c>
      <c r="O1089">
        <v>1</v>
      </c>
      <c r="P1089">
        <v>0</v>
      </c>
    </row>
    <row r="1090" spans="1:16" x14ac:dyDescent="0.25">
      <c r="A1090" t="str">
        <f>"1086"</f>
        <v>1086</v>
      </c>
      <c r="B1090" t="str">
        <f t="shared" si="57"/>
        <v>102</v>
      </c>
      <c r="C1090" t="str">
        <f t="shared" si="60"/>
        <v>44</v>
      </c>
      <c r="D1090" t="str">
        <f>"1"</f>
        <v>1</v>
      </c>
      <c r="E1090" t="str">
        <f>"102-44-1"</f>
        <v>102-44-1</v>
      </c>
      <c r="F1090" t="s">
        <v>18</v>
      </c>
      <c r="G1090" t="s">
        <v>19</v>
      </c>
      <c r="H1090">
        <v>2</v>
      </c>
      <c r="I1090">
        <v>1</v>
      </c>
      <c r="J1090">
        <v>0</v>
      </c>
      <c r="K1090">
        <v>1</v>
      </c>
      <c r="L1090">
        <v>0</v>
      </c>
      <c r="M1090">
        <v>1</v>
      </c>
      <c r="N1090">
        <v>0</v>
      </c>
      <c r="O1090">
        <v>1</v>
      </c>
      <c r="P1090">
        <v>0</v>
      </c>
    </row>
    <row r="1091" spans="1:16" x14ac:dyDescent="0.25">
      <c r="A1091" t="str">
        <f>"1087"</f>
        <v>1087</v>
      </c>
      <c r="B1091" t="str">
        <f t="shared" si="57"/>
        <v>102</v>
      </c>
      <c r="C1091" t="str">
        <f t="shared" si="60"/>
        <v>44</v>
      </c>
      <c r="D1091" t="str">
        <f>"25"</f>
        <v>25</v>
      </c>
      <c r="E1091" t="str">
        <f>"102-44-25"</f>
        <v>102-44-25</v>
      </c>
      <c r="F1091" t="s">
        <v>18</v>
      </c>
      <c r="G1091" t="s">
        <v>20</v>
      </c>
      <c r="H1091">
        <v>1</v>
      </c>
      <c r="K1091">
        <v>1</v>
      </c>
      <c r="L1091">
        <v>0</v>
      </c>
      <c r="M1091">
        <v>1</v>
      </c>
      <c r="N1091">
        <v>0</v>
      </c>
    </row>
    <row r="1092" spans="1:16" x14ac:dyDescent="0.25">
      <c r="A1092" t="str">
        <f>"1088"</f>
        <v>1088</v>
      </c>
      <c r="B1092" t="str">
        <f t="shared" si="57"/>
        <v>102</v>
      </c>
      <c r="C1092" t="str">
        <f t="shared" si="60"/>
        <v>44</v>
      </c>
      <c r="D1092" t="str">
        <f>"16"</f>
        <v>16</v>
      </c>
      <c r="E1092" t="str">
        <f>"102-44-16"</f>
        <v>102-44-16</v>
      </c>
      <c r="F1092" t="s">
        <v>18</v>
      </c>
      <c r="G1092" t="s">
        <v>20</v>
      </c>
      <c r="H1092">
        <v>1</v>
      </c>
      <c r="K1092">
        <v>1</v>
      </c>
      <c r="L1092">
        <v>0</v>
      </c>
      <c r="M1092">
        <v>1</v>
      </c>
      <c r="N1092">
        <v>0</v>
      </c>
    </row>
    <row r="1093" spans="1:16" x14ac:dyDescent="0.25">
      <c r="A1093" t="str">
        <f>"1089"</f>
        <v>1089</v>
      </c>
      <c r="B1093" t="str">
        <f t="shared" ref="B1093:B1156" si="61">"102"</f>
        <v>102</v>
      </c>
      <c r="C1093" t="str">
        <f t="shared" si="60"/>
        <v>44</v>
      </c>
      <c r="D1093" t="str">
        <f>"7"</f>
        <v>7</v>
      </c>
      <c r="E1093" t="str">
        <f>"102-44-7"</f>
        <v>102-44-7</v>
      </c>
      <c r="F1093" t="s">
        <v>18</v>
      </c>
      <c r="G1093" t="s">
        <v>20</v>
      </c>
      <c r="H1093">
        <v>1</v>
      </c>
      <c r="K1093">
        <v>0</v>
      </c>
      <c r="L1093">
        <v>1</v>
      </c>
      <c r="M1093">
        <v>0</v>
      </c>
      <c r="N1093">
        <v>1</v>
      </c>
    </row>
    <row r="1094" spans="1:16" x14ac:dyDescent="0.25">
      <c r="A1094" t="str">
        <f>"1090"</f>
        <v>1090</v>
      </c>
      <c r="B1094" t="str">
        <f t="shared" si="61"/>
        <v>102</v>
      </c>
      <c r="C1094" t="str">
        <f t="shared" si="60"/>
        <v>44</v>
      </c>
      <c r="D1094" t="str">
        <f>"18"</f>
        <v>18</v>
      </c>
      <c r="E1094" t="str">
        <f>"102-44-18"</f>
        <v>102-44-18</v>
      </c>
      <c r="F1094" t="s">
        <v>18</v>
      </c>
      <c r="G1094" t="s">
        <v>19</v>
      </c>
      <c r="H1094">
        <v>2</v>
      </c>
      <c r="I1094">
        <v>0</v>
      </c>
      <c r="J1094">
        <v>1</v>
      </c>
      <c r="K1094">
        <v>1</v>
      </c>
      <c r="L1094">
        <v>0</v>
      </c>
      <c r="M1094">
        <v>1</v>
      </c>
      <c r="N1094">
        <v>0</v>
      </c>
      <c r="O1094">
        <v>1</v>
      </c>
      <c r="P1094">
        <v>0</v>
      </c>
    </row>
    <row r="1095" spans="1:16" x14ac:dyDescent="0.25">
      <c r="A1095" t="str">
        <f>"1091"</f>
        <v>1091</v>
      </c>
      <c r="B1095" t="str">
        <f t="shared" si="61"/>
        <v>102</v>
      </c>
      <c r="C1095" t="str">
        <f t="shared" si="60"/>
        <v>44</v>
      </c>
      <c r="D1095" t="str">
        <f>"13"</f>
        <v>13</v>
      </c>
      <c r="E1095" t="str">
        <f>"102-44-13"</f>
        <v>102-44-13</v>
      </c>
      <c r="F1095" t="s">
        <v>18</v>
      </c>
      <c r="G1095" t="s">
        <v>20</v>
      </c>
      <c r="H1095">
        <v>1</v>
      </c>
      <c r="K1095">
        <v>1</v>
      </c>
      <c r="L1095">
        <v>0</v>
      </c>
      <c r="M1095">
        <v>1</v>
      </c>
      <c r="N1095">
        <v>0</v>
      </c>
    </row>
    <row r="1096" spans="1:16" x14ac:dyDescent="0.25">
      <c r="A1096" t="str">
        <f>"1092"</f>
        <v>1092</v>
      </c>
      <c r="B1096" t="str">
        <f t="shared" si="61"/>
        <v>102</v>
      </c>
      <c r="C1096" t="str">
        <f t="shared" si="60"/>
        <v>44</v>
      </c>
      <c r="D1096" t="str">
        <f>"19"</f>
        <v>19</v>
      </c>
      <c r="E1096" t="str">
        <f>"102-44-19"</f>
        <v>102-44-19</v>
      </c>
      <c r="F1096" t="s">
        <v>18</v>
      </c>
      <c r="G1096" t="s">
        <v>20</v>
      </c>
      <c r="H1096">
        <v>1</v>
      </c>
      <c r="K1096">
        <v>1</v>
      </c>
      <c r="L1096">
        <v>0</v>
      </c>
      <c r="M1096">
        <v>0</v>
      </c>
      <c r="N1096">
        <v>1</v>
      </c>
    </row>
    <row r="1097" spans="1:16" x14ac:dyDescent="0.25">
      <c r="A1097" t="str">
        <f>"1093"</f>
        <v>1093</v>
      </c>
      <c r="B1097" t="str">
        <f t="shared" si="61"/>
        <v>102</v>
      </c>
      <c r="C1097" t="str">
        <f t="shared" si="60"/>
        <v>44</v>
      </c>
      <c r="D1097" t="str">
        <f>"9"</f>
        <v>9</v>
      </c>
      <c r="E1097" t="str">
        <f>"102-44-9"</f>
        <v>102-44-9</v>
      </c>
      <c r="F1097" t="s">
        <v>18</v>
      </c>
      <c r="G1097" t="s">
        <v>20</v>
      </c>
      <c r="H1097">
        <v>1</v>
      </c>
      <c r="K1097">
        <v>0</v>
      </c>
      <c r="L1097">
        <v>1</v>
      </c>
      <c r="M1097">
        <v>0</v>
      </c>
      <c r="N1097">
        <v>1</v>
      </c>
    </row>
    <row r="1098" spans="1:16" x14ac:dyDescent="0.25">
      <c r="A1098" t="str">
        <f>"1094"</f>
        <v>1094</v>
      </c>
      <c r="B1098" t="str">
        <f t="shared" si="61"/>
        <v>102</v>
      </c>
      <c r="C1098" t="str">
        <f t="shared" si="60"/>
        <v>44</v>
      </c>
      <c r="D1098" t="str">
        <f>"22"</f>
        <v>22</v>
      </c>
      <c r="E1098" t="str">
        <f>"102-44-22"</f>
        <v>102-44-22</v>
      </c>
      <c r="F1098" t="s">
        <v>18</v>
      </c>
      <c r="G1098" t="s">
        <v>20</v>
      </c>
      <c r="H1098">
        <v>1</v>
      </c>
      <c r="K1098">
        <v>0</v>
      </c>
      <c r="L1098">
        <v>1</v>
      </c>
      <c r="M1098">
        <v>0</v>
      </c>
      <c r="N1098">
        <v>1</v>
      </c>
    </row>
    <row r="1099" spans="1:16" x14ac:dyDescent="0.25">
      <c r="A1099" t="str">
        <f>"1095"</f>
        <v>1095</v>
      </c>
      <c r="B1099" t="str">
        <f t="shared" si="61"/>
        <v>102</v>
      </c>
      <c r="C1099" t="str">
        <f t="shared" si="60"/>
        <v>44</v>
      </c>
      <c r="D1099" t="str">
        <f>"12"</f>
        <v>12</v>
      </c>
      <c r="E1099" t="str">
        <f>"102-44-12"</f>
        <v>102-44-12</v>
      </c>
      <c r="F1099" t="s">
        <v>18</v>
      </c>
      <c r="G1099" t="s">
        <v>20</v>
      </c>
      <c r="H1099">
        <v>1</v>
      </c>
      <c r="K1099">
        <v>1</v>
      </c>
      <c r="L1099">
        <v>0</v>
      </c>
      <c r="M1099">
        <v>1</v>
      </c>
      <c r="N1099">
        <v>0</v>
      </c>
    </row>
    <row r="1100" spans="1:16" x14ac:dyDescent="0.25">
      <c r="A1100" t="str">
        <f>"1096"</f>
        <v>1096</v>
      </c>
      <c r="B1100" t="str">
        <f t="shared" si="61"/>
        <v>102</v>
      </c>
      <c r="C1100" t="str">
        <f t="shared" si="60"/>
        <v>44</v>
      </c>
      <c r="D1100" t="str">
        <f>"23"</f>
        <v>23</v>
      </c>
      <c r="E1100" t="str">
        <f>"102-44-23"</f>
        <v>102-44-23</v>
      </c>
      <c r="F1100" t="s">
        <v>18</v>
      </c>
      <c r="G1100" t="s">
        <v>19</v>
      </c>
      <c r="H1100">
        <v>2</v>
      </c>
      <c r="I1100">
        <v>0</v>
      </c>
      <c r="J1100">
        <v>1</v>
      </c>
      <c r="K1100">
        <v>1</v>
      </c>
      <c r="L1100">
        <v>0</v>
      </c>
      <c r="M1100">
        <v>1</v>
      </c>
      <c r="N1100">
        <v>0</v>
      </c>
      <c r="O1100">
        <v>1</v>
      </c>
      <c r="P1100">
        <v>0</v>
      </c>
    </row>
    <row r="1101" spans="1:16" x14ac:dyDescent="0.25">
      <c r="A1101" t="str">
        <f>"1097"</f>
        <v>1097</v>
      </c>
      <c r="B1101" t="str">
        <f t="shared" si="61"/>
        <v>102</v>
      </c>
      <c r="C1101" t="str">
        <f t="shared" si="60"/>
        <v>44</v>
      </c>
      <c r="D1101" t="str">
        <f>"8"</f>
        <v>8</v>
      </c>
      <c r="E1101" t="str">
        <f>"102-44-8"</f>
        <v>102-44-8</v>
      </c>
      <c r="F1101" t="s">
        <v>18</v>
      </c>
      <c r="G1101" t="s">
        <v>20</v>
      </c>
      <c r="H1101">
        <v>1</v>
      </c>
      <c r="K1101">
        <v>0</v>
      </c>
      <c r="L1101">
        <v>1</v>
      </c>
      <c r="M1101">
        <v>0</v>
      </c>
      <c r="N1101">
        <v>1</v>
      </c>
    </row>
    <row r="1102" spans="1:16" x14ac:dyDescent="0.25">
      <c r="A1102" t="str">
        <f>"1098"</f>
        <v>1098</v>
      </c>
      <c r="B1102" t="str">
        <f t="shared" si="61"/>
        <v>102</v>
      </c>
      <c r="C1102" t="str">
        <f t="shared" si="60"/>
        <v>44</v>
      </c>
      <c r="D1102" t="str">
        <f>"24"</f>
        <v>24</v>
      </c>
      <c r="E1102" t="str">
        <f>"102-44-24"</f>
        <v>102-44-24</v>
      </c>
      <c r="F1102" t="s">
        <v>18</v>
      </c>
      <c r="G1102" t="s">
        <v>20</v>
      </c>
      <c r="H1102">
        <v>1</v>
      </c>
      <c r="K1102">
        <v>1</v>
      </c>
      <c r="L1102">
        <v>0</v>
      </c>
      <c r="M1102">
        <v>0</v>
      </c>
      <c r="N1102">
        <v>0</v>
      </c>
    </row>
    <row r="1103" spans="1:16" x14ac:dyDescent="0.25">
      <c r="A1103" t="str">
        <f>"1099"</f>
        <v>1099</v>
      </c>
      <c r="B1103" t="str">
        <f t="shared" si="61"/>
        <v>102</v>
      </c>
      <c r="C1103" t="str">
        <f t="shared" si="60"/>
        <v>44</v>
      </c>
      <c r="D1103" t="str">
        <f>"10"</f>
        <v>10</v>
      </c>
      <c r="E1103" t="str">
        <f>"102-44-10"</f>
        <v>102-44-10</v>
      </c>
      <c r="F1103" t="s">
        <v>18</v>
      </c>
      <c r="G1103" t="s">
        <v>19</v>
      </c>
      <c r="H1103">
        <v>2</v>
      </c>
      <c r="I1103">
        <v>1</v>
      </c>
      <c r="J1103">
        <v>0</v>
      </c>
      <c r="K1103">
        <v>1</v>
      </c>
      <c r="L1103">
        <v>0</v>
      </c>
      <c r="M1103">
        <v>0</v>
      </c>
      <c r="N1103">
        <v>1</v>
      </c>
      <c r="O1103">
        <v>1</v>
      </c>
      <c r="P1103">
        <v>0</v>
      </c>
    </row>
    <row r="1104" spans="1:16" x14ac:dyDescent="0.25">
      <c r="A1104" t="str">
        <f>"1100"</f>
        <v>1100</v>
      </c>
      <c r="B1104" t="str">
        <f t="shared" si="61"/>
        <v>102</v>
      </c>
      <c r="C1104" t="str">
        <f t="shared" si="60"/>
        <v>44</v>
      </c>
      <c r="D1104" t="str">
        <f>"11"</f>
        <v>11</v>
      </c>
      <c r="E1104" t="str">
        <f>"102-44-11"</f>
        <v>102-44-11</v>
      </c>
      <c r="F1104" t="s">
        <v>18</v>
      </c>
      <c r="G1104" t="s">
        <v>19</v>
      </c>
      <c r="H1104">
        <v>2</v>
      </c>
      <c r="I1104">
        <v>1</v>
      </c>
      <c r="J1104">
        <v>1</v>
      </c>
      <c r="K1104">
        <v>0</v>
      </c>
      <c r="L1104">
        <v>1</v>
      </c>
      <c r="M1104">
        <v>0</v>
      </c>
      <c r="N1104">
        <v>1</v>
      </c>
      <c r="O1104">
        <v>0</v>
      </c>
      <c r="P1104">
        <v>1</v>
      </c>
    </row>
    <row r="1105" spans="1:14" x14ac:dyDescent="0.25">
      <c r="A1105" t="str">
        <f>"1101"</f>
        <v>1101</v>
      </c>
      <c r="B1105" t="str">
        <f t="shared" si="61"/>
        <v>102</v>
      </c>
      <c r="C1105" t="str">
        <f t="shared" ref="C1105:C1129" si="62">"45"</f>
        <v>45</v>
      </c>
      <c r="D1105" t="str">
        <f>"23"</f>
        <v>23</v>
      </c>
      <c r="E1105" t="str">
        <f>"102-45-23"</f>
        <v>102-45-23</v>
      </c>
      <c r="F1105" t="s">
        <v>18</v>
      </c>
      <c r="G1105" t="s">
        <v>20</v>
      </c>
      <c r="H1105">
        <v>1</v>
      </c>
      <c r="K1105">
        <v>1</v>
      </c>
      <c r="L1105">
        <v>0</v>
      </c>
      <c r="M1105">
        <v>1</v>
      </c>
      <c r="N1105">
        <v>0</v>
      </c>
    </row>
    <row r="1106" spans="1:14" x14ac:dyDescent="0.25">
      <c r="A1106" t="str">
        <f>"1102"</f>
        <v>1102</v>
      </c>
      <c r="B1106" t="str">
        <f t="shared" si="61"/>
        <v>102</v>
      </c>
      <c r="C1106" t="str">
        <f t="shared" si="62"/>
        <v>45</v>
      </c>
      <c r="D1106" t="str">
        <f>"22"</f>
        <v>22</v>
      </c>
      <c r="E1106" t="str">
        <f>"102-45-22"</f>
        <v>102-45-22</v>
      </c>
      <c r="F1106" t="s">
        <v>18</v>
      </c>
      <c r="G1106" t="s">
        <v>20</v>
      </c>
      <c r="H1106">
        <v>1</v>
      </c>
      <c r="K1106">
        <v>1</v>
      </c>
      <c r="L1106">
        <v>0</v>
      </c>
      <c r="M1106">
        <v>1</v>
      </c>
      <c r="N1106">
        <v>0</v>
      </c>
    </row>
    <row r="1107" spans="1:14" x14ac:dyDescent="0.25">
      <c r="A1107" t="str">
        <f>"1103"</f>
        <v>1103</v>
      </c>
      <c r="B1107" t="str">
        <f t="shared" si="61"/>
        <v>102</v>
      </c>
      <c r="C1107" t="str">
        <f t="shared" si="62"/>
        <v>45</v>
      </c>
      <c r="D1107" t="str">
        <f>"14"</f>
        <v>14</v>
      </c>
      <c r="E1107" t="str">
        <f>"102-45-14"</f>
        <v>102-45-14</v>
      </c>
      <c r="F1107" t="s">
        <v>18</v>
      </c>
      <c r="G1107" t="s">
        <v>20</v>
      </c>
      <c r="H1107">
        <v>1</v>
      </c>
      <c r="K1107">
        <v>0</v>
      </c>
      <c r="L1107">
        <v>1</v>
      </c>
      <c r="M1107">
        <v>0</v>
      </c>
      <c r="N1107">
        <v>1</v>
      </c>
    </row>
    <row r="1108" spans="1:14" x14ac:dyDescent="0.25">
      <c r="A1108" t="str">
        <f>"1104"</f>
        <v>1104</v>
      </c>
      <c r="B1108" t="str">
        <f t="shared" si="61"/>
        <v>102</v>
      </c>
      <c r="C1108" t="str">
        <f t="shared" si="62"/>
        <v>45</v>
      </c>
      <c r="D1108" t="str">
        <f>"11"</f>
        <v>11</v>
      </c>
      <c r="E1108" t="str">
        <f>"102-45-11"</f>
        <v>102-45-11</v>
      </c>
      <c r="F1108" t="s">
        <v>18</v>
      </c>
      <c r="G1108" t="s">
        <v>20</v>
      </c>
      <c r="H1108">
        <v>1</v>
      </c>
      <c r="K1108">
        <v>0</v>
      </c>
      <c r="L1108">
        <v>1</v>
      </c>
      <c r="M1108">
        <v>0</v>
      </c>
      <c r="N1108">
        <v>1</v>
      </c>
    </row>
    <row r="1109" spans="1:14" x14ac:dyDescent="0.25">
      <c r="A1109" t="str">
        <f>"1105"</f>
        <v>1105</v>
      </c>
      <c r="B1109" t="str">
        <f t="shared" si="61"/>
        <v>102</v>
      </c>
      <c r="C1109" t="str">
        <f t="shared" si="62"/>
        <v>45</v>
      </c>
      <c r="D1109" t="str">
        <f>"1"</f>
        <v>1</v>
      </c>
      <c r="E1109" t="str">
        <f>"102-45-1"</f>
        <v>102-45-1</v>
      </c>
      <c r="F1109" t="s">
        <v>18</v>
      </c>
      <c r="G1109" t="s">
        <v>20</v>
      </c>
      <c r="H1109">
        <v>1</v>
      </c>
      <c r="K1109">
        <v>1</v>
      </c>
      <c r="L1109">
        <v>0</v>
      </c>
      <c r="M1109">
        <v>1</v>
      </c>
      <c r="N1109">
        <v>0</v>
      </c>
    </row>
    <row r="1110" spans="1:14" x14ac:dyDescent="0.25">
      <c r="A1110" t="str">
        <f>"1106"</f>
        <v>1106</v>
      </c>
      <c r="B1110" t="str">
        <f t="shared" si="61"/>
        <v>102</v>
      </c>
      <c r="C1110" t="str">
        <f t="shared" si="62"/>
        <v>45</v>
      </c>
      <c r="D1110" t="str">
        <f>"25"</f>
        <v>25</v>
      </c>
      <c r="E1110" t="str">
        <f>"102-45-25"</f>
        <v>102-45-25</v>
      </c>
      <c r="F1110" t="s">
        <v>18</v>
      </c>
      <c r="G1110" t="s">
        <v>20</v>
      </c>
      <c r="H1110">
        <v>1</v>
      </c>
      <c r="K1110">
        <v>1</v>
      </c>
      <c r="L1110">
        <v>0</v>
      </c>
      <c r="M1110">
        <v>1</v>
      </c>
      <c r="N1110">
        <v>0</v>
      </c>
    </row>
    <row r="1111" spans="1:14" x14ac:dyDescent="0.25">
      <c r="A1111" t="str">
        <f>"1107"</f>
        <v>1107</v>
      </c>
      <c r="B1111" t="str">
        <f t="shared" si="61"/>
        <v>102</v>
      </c>
      <c r="C1111" t="str">
        <f t="shared" si="62"/>
        <v>45</v>
      </c>
      <c r="D1111" t="str">
        <f>"12"</f>
        <v>12</v>
      </c>
      <c r="E1111" t="str">
        <f>"102-45-12"</f>
        <v>102-45-12</v>
      </c>
      <c r="F1111" t="s">
        <v>18</v>
      </c>
      <c r="G1111" t="s">
        <v>20</v>
      </c>
      <c r="H1111">
        <v>1</v>
      </c>
      <c r="K1111">
        <v>1</v>
      </c>
      <c r="L1111">
        <v>0</v>
      </c>
      <c r="M1111">
        <v>1</v>
      </c>
      <c r="N1111">
        <v>0</v>
      </c>
    </row>
    <row r="1112" spans="1:14" x14ac:dyDescent="0.25">
      <c r="A1112" t="str">
        <f>"1108"</f>
        <v>1108</v>
      </c>
      <c r="B1112" t="str">
        <f t="shared" si="61"/>
        <v>102</v>
      </c>
      <c r="C1112" t="str">
        <f t="shared" si="62"/>
        <v>45</v>
      </c>
      <c r="D1112" t="str">
        <f>"2"</f>
        <v>2</v>
      </c>
      <c r="E1112" t="str">
        <f>"102-45-2"</f>
        <v>102-45-2</v>
      </c>
      <c r="F1112" t="s">
        <v>18</v>
      </c>
      <c r="G1112" t="s">
        <v>20</v>
      </c>
      <c r="H1112">
        <v>1</v>
      </c>
      <c r="K1112">
        <v>0</v>
      </c>
      <c r="L1112">
        <v>1</v>
      </c>
      <c r="M1112">
        <v>0</v>
      </c>
      <c r="N1112">
        <v>1</v>
      </c>
    </row>
    <row r="1113" spans="1:14" x14ac:dyDescent="0.25">
      <c r="A1113" t="str">
        <f>"1109"</f>
        <v>1109</v>
      </c>
      <c r="B1113" t="str">
        <f t="shared" si="61"/>
        <v>102</v>
      </c>
      <c r="C1113" t="str">
        <f t="shared" si="62"/>
        <v>45</v>
      </c>
      <c r="D1113" t="str">
        <f>"13"</f>
        <v>13</v>
      </c>
      <c r="E1113" t="str">
        <f>"102-45-13"</f>
        <v>102-45-13</v>
      </c>
      <c r="F1113" t="s">
        <v>18</v>
      </c>
      <c r="G1113" t="s">
        <v>20</v>
      </c>
      <c r="H1113">
        <v>1</v>
      </c>
      <c r="K1113">
        <v>0</v>
      </c>
      <c r="L1113">
        <v>1</v>
      </c>
      <c r="M1113">
        <v>0</v>
      </c>
      <c r="N1113">
        <v>1</v>
      </c>
    </row>
    <row r="1114" spans="1:14" x14ac:dyDescent="0.25">
      <c r="A1114" t="str">
        <f>"1110"</f>
        <v>1110</v>
      </c>
      <c r="B1114" t="str">
        <f t="shared" si="61"/>
        <v>102</v>
      </c>
      <c r="C1114" t="str">
        <f t="shared" si="62"/>
        <v>45</v>
      </c>
      <c r="D1114" t="str">
        <f>"5"</f>
        <v>5</v>
      </c>
      <c r="E1114" t="str">
        <f>"102-45-5"</f>
        <v>102-45-5</v>
      </c>
      <c r="F1114" t="s">
        <v>18</v>
      </c>
      <c r="G1114" t="s">
        <v>20</v>
      </c>
      <c r="H1114">
        <v>1</v>
      </c>
      <c r="K1114">
        <v>1</v>
      </c>
      <c r="L1114">
        <v>0</v>
      </c>
      <c r="M1114">
        <v>1</v>
      </c>
      <c r="N1114">
        <v>0</v>
      </c>
    </row>
    <row r="1115" spans="1:14" x14ac:dyDescent="0.25">
      <c r="A1115" t="str">
        <f>"1111"</f>
        <v>1111</v>
      </c>
      <c r="B1115" t="str">
        <f t="shared" si="61"/>
        <v>102</v>
      </c>
      <c r="C1115" t="str">
        <f t="shared" si="62"/>
        <v>45</v>
      </c>
      <c r="D1115" t="str">
        <f>"24"</f>
        <v>24</v>
      </c>
      <c r="E1115" t="str">
        <f>"102-45-24"</f>
        <v>102-45-24</v>
      </c>
      <c r="F1115" t="s">
        <v>18</v>
      </c>
      <c r="G1115" t="s">
        <v>20</v>
      </c>
      <c r="H1115">
        <v>1</v>
      </c>
      <c r="K1115">
        <v>1</v>
      </c>
      <c r="L1115">
        <v>0</v>
      </c>
      <c r="M1115">
        <v>1</v>
      </c>
      <c r="N1115">
        <v>0</v>
      </c>
    </row>
    <row r="1116" spans="1:14" x14ac:dyDescent="0.25">
      <c r="A1116" t="str">
        <f>"1112"</f>
        <v>1112</v>
      </c>
      <c r="B1116" t="str">
        <f t="shared" si="61"/>
        <v>102</v>
      </c>
      <c r="C1116" t="str">
        <f t="shared" si="62"/>
        <v>45</v>
      </c>
      <c r="D1116" t="str">
        <f>"15"</f>
        <v>15</v>
      </c>
      <c r="E1116" t="str">
        <f>"102-45-15"</f>
        <v>102-45-15</v>
      </c>
      <c r="F1116" t="s">
        <v>18</v>
      </c>
      <c r="G1116" t="s">
        <v>20</v>
      </c>
      <c r="H1116">
        <v>1</v>
      </c>
      <c r="K1116">
        <v>1</v>
      </c>
      <c r="L1116">
        <v>0</v>
      </c>
      <c r="M1116">
        <v>1</v>
      </c>
      <c r="N1116">
        <v>0</v>
      </c>
    </row>
    <row r="1117" spans="1:14" x14ac:dyDescent="0.25">
      <c r="A1117" t="str">
        <f>"1113"</f>
        <v>1113</v>
      </c>
      <c r="B1117" t="str">
        <f t="shared" si="61"/>
        <v>102</v>
      </c>
      <c r="C1117" t="str">
        <f t="shared" si="62"/>
        <v>45</v>
      </c>
      <c r="D1117" t="str">
        <f>"10"</f>
        <v>10</v>
      </c>
      <c r="E1117" t="str">
        <f>"102-45-10"</f>
        <v>102-45-10</v>
      </c>
      <c r="F1117" t="s">
        <v>18</v>
      </c>
      <c r="G1117" t="s">
        <v>20</v>
      </c>
      <c r="H1117">
        <v>1</v>
      </c>
      <c r="K1117">
        <v>1</v>
      </c>
      <c r="L1117">
        <v>0</v>
      </c>
      <c r="M1117">
        <v>0</v>
      </c>
      <c r="N1117">
        <v>1</v>
      </c>
    </row>
    <row r="1118" spans="1:14" x14ac:dyDescent="0.25">
      <c r="A1118" t="str">
        <f>"1114"</f>
        <v>1114</v>
      </c>
      <c r="B1118" t="str">
        <f t="shared" si="61"/>
        <v>102</v>
      </c>
      <c r="C1118" t="str">
        <f t="shared" si="62"/>
        <v>45</v>
      </c>
      <c r="D1118" t="str">
        <f>"16"</f>
        <v>16</v>
      </c>
      <c r="E1118" t="str">
        <f>"102-45-16"</f>
        <v>102-45-16</v>
      </c>
      <c r="F1118" t="s">
        <v>18</v>
      </c>
      <c r="G1118" t="s">
        <v>20</v>
      </c>
      <c r="H1118">
        <v>1</v>
      </c>
      <c r="K1118">
        <v>1</v>
      </c>
      <c r="L1118">
        <v>0</v>
      </c>
      <c r="M1118">
        <v>1</v>
      </c>
      <c r="N1118">
        <v>0</v>
      </c>
    </row>
    <row r="1119" spans="1:14" x14ac:dyDescent="0.25">
      <c r="A1119" t="str">
        <f>"1115"</f>
        <v>1115</v>
      </c>
      <c r="B1119" t="str">
        <f t="shared" si="61"/>
        <v>102</v>
      </c>
      <c r="C1119" t="str">
        <f t="shared" si="62"/>
        <v>45</v>
      </c>
      <c r="D1119" t="str">
        <f>"3"</f>
        <v>3</v>
      </c>
      <c r="E1119" t="str">
        <f>"102-45-3"</f>
        <v>102-45-3</v>
      </c>
      <c r="F1119" t="s">
        <v>18</v>
      </c>
      <c r="G1119" t="s">
        <v>20</v>
      </c>
      <c r="H1119">
        <v>1</v>
      </c>
      <c r="K1119">
        <v>0</v>
      </c>
      <c r="L1119">
        <v>1</v>
      </c>
      <c r="M1119">
        <v>0</v>
      </c>
      <c r="N1119">
        <v>1</v>
      </c>
    </row>
    <row r="1120" spans="1:14" x14ac:dyDescent="0.25">
      <c r="A1120" t="str">
        <f>"1116"</f>
        <v>1116</v>
      </c>
      <c r="B1120" t="str">
        <f t="shared" si="61"/>
        <v>102</v>
      </c>
      <c r="C1120" t="str">
        <f t="shared" si="62"/>
        <v>45</v>
      </c>
      <c r="D1120" t="str">
        <f>"17"</f>
        <v>17</v>
      </c>
      <c r="E1120" t="str">
        <f>"102-45-17"</f>
        <v>102-45-17</v>
      </c>
      <c r="F1120" t="s">
        <v>18</v>
      </c>
      <c r="G1120" t="s">
        <v>20</v>
      </c>
      <c r="H1120">
        <v>1</v>
      </c>
      <c r="K1120">
        <v>0</v>
      </c>
      <c r="L1120">
        <v>1</v>
      </c>
      <c r="M1120">
        <v>0</v>
      </c>
      <c r="N1120">
        <v>1</v>
      </c>
    </row>
    <row r="1121" spans="1:14" x14ac:dyDescent="0.25">
      <c r="A1121" t="str">
        <f>"1117"</f>
        <v>1117</v>
      </c>
      <c r="B1121" t="str">
        <f t="shared" si="61"/>
        <v>102</v>
      </c>
      <c r="C1121" t="str">
        <f t="shared" si="62"/>
        <v>45</v>
      </c>
      <c r="D1121" t="str">
        <f>"4"</f>
        <v>4</v>
      </c>
      <c r="E1121" t="str">
        <f>"102-45-4"</f>
        <v>102-45-4</v>
      </c>
      <c r="F1121" t="s">
        <v>18</v>
      </c>
      <c r="G1121" t="s">
        <v>20</v>
      </c>
      <c r="H1121">
        <v>1</v>
      </c>
      <c r="K1121">
        <v>1</v>
      </c>
      <c r="L1121">
        <v>0</v>
      </c>
      <c r="M1121">
        <v>1</v>
      </c>
      <c r="N1121">
        <v>0</v>
      </c>
    </row>
    <row r="1122" spans="1:14" x14ac:dyDescent="0.25">
      <c r="A1122" t="str">
        <f>"1118"</f>
        <v>1118</v>
      </c>
      <c r="B1122" t="str">
        <f t="shared" si="61"/>
        <v>102</v>
      </c>
      <c r="C1122" t="str">
        <f t="shared" si="62"/>
        <v>45</v>
      </c>
      <c r="D1122" t="str">
        <f>"18"</f>
        <v>18</v>
      </c>
      <c r="E1122" t="str">
        <f>"102-45-18"</f>
        <v>102-45-18</v>
      </c>
      <c r="F1122" t="s">
        <v>18</v>
      </c>
      <c r="G1122" t="s">
        <v>20</v>
      </c>
      <c r="H1122">
        <v>1</v>
      </c>
      <c r="K1122">
        <v>1</v>
      </c>
      <c r="L1122">
        <v>0</v>
      </c>
      <c r="M1122">
        <v>1</v>
      </c>
      <c r="N1122">
        <v>0</v>
      </c>
    </row>
    <row r="1123" spans="1:14" x14ac:dyDescent="0.25">
      <c r="A1123" t="str">
        <f>"1119"</f>
        <v>1119</v>
      </c>
      <c r="B1123" t="str">
        <f t="shared" si="61"/>
        <v>102</v>
      </c>
      <c r="C1123" t="str">
        <f t="shared" si="62"/>
        <v>45</v>
      </c>
      <c r="D1123" t="str">
        <f>"6"</f>
        <v>6</v>
      </c>
      <c r="E1123" t="str">
        <f>"102-45-6"</f>
        <v>102-45-6</v>
      </c>
      <c r="F1123" t="s">
        <v>18</v>
      </c>
      <c r="G1123" t="s">
        <v>20</v>
      </c>
      <c r="H1123">
        <v>1</v>
      </c>
      <c r="K1123">
        <v>1</v>
      </c>
      <c r="L1123">
        <v>0</v>
      </c>
      <c r="M1123">
        <v>1</v>
      </c>
      <c r="N1123">
        <v>0</v>
      </c>
    </row>
    <row r="1124" spans="1:14" x14ac:dyDescent="0.25">
      <c r="A1124" t="str">
        <f>"1120"</f>
        <v>1120</v>
      </c>
      <c r="B1124" t="str">
        <f t="shared" si="61"/>
        <v>102</v>
      </c>
      <c r="C1124" t="str">
        <f t="shared" si="62"/>
        <v>45</v>
      </c>
      <c r="D1124" t="str">
        <f>"19"</f>
        <v>19</v>
      </c>
      <c r="E1124" t="str">
        <f>"102-45-19"</f>
        <v>102-45-19</v>
      </c>
      <c r="F1124" t="s">
        <v>18</v>
      </c>
      <c r="G1124" t="s">
        <v>20</v>
      </c>
      <c r="H1124">
        <v>1</v>
      </c>
      <c r="K1124">
        <v>1</v>
      </c>
      <c r="L1124">
        <v>0</v>
      </c>
      <c r="M1124">
        <v>1</v>
      </c>
      <c r="N1124">
        <v>0</v>
      </c>
    </row>
    <row r="1125" spans="1:14" x14ac:dyDescent="0.25">
      <c r="A1125" t="str">
        <f>"1121"</f>
        <v>1121</v>
      </c>
      <c r="B1125" t="str">
        <f t="shared" si="61"/>
        <v>102</v>
      </c>
      <c r="C1125" t="str">
        <f t="shared" si="62"/>
        <v>45</v>
      </c>
      <c r="D1125" t="str">
        <f>"7"</f>
        <v>7</v>
      </c>
      <c r="E1125" t="str">
        <f>"102-45-7"</f>
        <v>102-45-7</v>
      </c>
      <c r="F1125" t="s">
        <v>18</v>
      </c>
      <c r="G1125" t="s">
        <v>20</v>
      </c>
      <c r="H1125">
        <v>1</v>
      </c>
      <c r="K1125">
        <v>0</v>
      </c>
      <c r="L1125">
        <v>1</v>
      </c>
      <c r="M1125">
        <v>0</v>
      </c>
      <c r="N1125">
        <v>1</v>
      </c>
    </row>
    <row r="1126" spans="1:14" x14ac:dyDescent="0.25">
      <c r="A1126" t="str">
        <f>"1122"</f>
        <v>1122</v>
      </c>
      <c r="B1126" t="str">
        <f t="shared" si="61"/>
        <v>102</v>
      </c>
      <c r="C1126" t="str">
        <f t="shared" si="62"/>
        <v>45</v>
      </c>
      <c r="D1126" t="str">
        <f>"20"</f>
        <v>20</v>
      </c>
      <c r="E1126" t="str">
        <f>"102-45-20"</f>
        <v>102-45-20</v>
      </c>
      <c r="F1126" t="s">
        <v>18</v>
      </c>
      <c r="G1126" t="s">
        <v>20</v>
      </c>
      <c r="H1126">
        <v>1</v>
      </c>
      <c r="K1126">
        <v>1</v>
      </c>
      <c r="L1126">
        <v>0</v>
      </c>
      <c r="M1126">
        <v>1</v>
      </c>
      <c r="N1126">
        <v>0</v>
      </c>
    </row>
    <row r="1127" spans="1:14" x14ac:dyDescent="0.25">
      <c r="A1127" t="str">
        <f>"1123"</f>
        <v>1123</v>
      </c>
      <c r="B1127" t="str">
        <f t="shared" si="61"/>
        <v>102</v>
      </c>
      <c r="C1127" t="str">
        <f t="shared" si="62"/>
        <v>45</v>
      </c>
      <c r="D1127" t="str">
        <f>"9"</f>
        <v>9</v>
      </c>
      <c r="E1127" t="str">
        <f>"102-45-9"</f>
        <v>102-45-9</v>
      </c>
      <c r="F1127" t="s">
        <v>18</v>
      </c>
      <c r="G1127" t="s">
        <v>20</v>
      </c>
      <c r="H1127">
        <v>1</v>
      </c>
      <c r="K1127">
        <v>1</v>
      </c>
      <c r="L1127">
        <v>0</v>
      </c>
      <c r="M1127">
        <v>0</v>
      </c>
      <c r="N1127">
        <v>1</v>
      </c>
    </row>
    <row r="1128" spans="1:14" x14ac:dyDescent="0.25">
      <c r="A1128" t="str">
        <f>"1124"</f>
        <v>1124</v>
      </c>
      <c r="B1128" t="str">
        <f t="shared" si="61"/>
        <v>102</v>
      </c>
      <c r="C1128" t="str">
        <f t="shared" si="62"/>
        <v>45</v>
      </c>
      <c r="D1128" t="str">
        <f>"21"</f>
        <v>21</v>
      </c>
      <c r="E1128" t="str">
        <f>"102-45-21"</f>
        <v>102-45-21</v>
      </c>
      <c r="F1128" t="s">
        <v>18</v>
      </c>
      <c r="G1128" t="s">
        <v>20</v>
      </c>
      <c r="H1128">
        <v>1</v>
      </c>
      <c r="K1128">
        <v>1</v>
      </c>
      <c r="L1128">
        <v>0</v>
      </c>
      <c r="M1128">
        <v>1</v>
      </c>
      <c r="N1128">
        <v>0</v>
      </c>
    </row>
    <row r="1129" spans="1:14" x14ac:dyDescent="0.25">
      <c r="A1129" t="str">
        <f>"1125"</f>
        <v>1125</v>
      </c>
      <c r="B1129" t="str">
        <f t="shared" si="61"/>
        <v>102</v>
      </c>
      <c r="C1129" t="str">
        <f t="shared" si="62"/>
        <v>45</v>
      </c>
      <c r="D1129" t="str">
        <f>"8"</f>
        <v>8</v>
      </c>
      <c r="E1129" t="str">
        <f>"102-45-8"</f>
        <v>102-45-8</v>
      </c>
      <c r="F1129" t="s">
        <v>18</v>
      </c>
      <c r="G1129" t="s">
        <v>20</v>
      </c>
      <c r="H1129">
        <v>1</v>
      </c>
      <c r="K1129">
        <v>0</v>
      </c>
      <c r="L1129">
        <v>1</v>
      </c>
      <c r="M1129">
        <v>0</v>
      </c>
      <c r="N1129">
        <v>1</v>
      </c>
    </row>
    <row r="1130" spans="1:14" x14ac:dyDescent="0.25">
      <c r="A1130" t="str">
        <f>"1126"</f>
        <v>1126</v>
      </c>
      <c r="B1130" t="str">
        <f t="shared" si="61"/>
        <v>102</v>
      </c>
      <c r="C1130" t="str">
        <f t="shared" ref="C1130:C1154" si="63">"46"</f>
        <v>46</v>
      </c>
      <c r="D1130" t="str">
        <f>"25"</f>
        <v>25</v>
      </c>
      <c r="E1130" t="str">
        <f>"102-46-25"</f>
        <v>102-46-25</v>
      </c>
      <c r="F1130" t="s">
        <v>18</v>
      </c>
      <c r="G1130" t="s">
        <v>20</v>
      </c>
      <c r="H1130">
        <v>1</v>
      </c>
      <c r="K1130">
        <v>1</v>
      </c>
      <c r="L1130">
        <v>0</v>
      </c>
      <c r="M1130">
        <v>1</v>
      </c>
      <c r="N1130">
        <v>0</v>
      </c>
    </row>
    <row r="1131" spans="1:14" x14ac:dyDescent="0.25">
      <c r="A1131" t="str">
        <f>"1127"</f>
        <v>1127</v>
      </c>
      <c r="B1131" t="str">
        <f t="shared" si="61"/>
        <v>102</v>
      </c>
      <c r="C1131" t="str">
        <f t="shared" si="63"/>
        <v>46</v>
      </c>
      <c r="D1131" t="str">
        <f>"24"</f>
        <v>24</v>
      </c>
      <c r="E1131" t="str">
        <f>"102-46-24"</f>
        <v>102-46-24</v>
      </c>
      <c r="F1131" t="s">
        <v>18</v>
      </c>
      <c r="G1131" t="s">
        <v>20</v>
      </c>
      <c r="H1131">
        <v>1</v>
      </c>
      <c r="K1131">
        <v>1</v>
      </c>
      <c r="L1131">
        <v>0</v>
      </c>
      <c r="M1131">
        <v>1</v>
      </c>
      <c r="N1131">
        <v>0</v>
      </c>
    </row>
    <row r="1132" spans="1:14" x14ac:dyDescent="0.25">
      <c r="A1132" t="str">
        <f>"1128"</f>
        <v>1128</v>
      </c>
      <c r="B1132" t="str">
        <f t="shared" si="61"/>
        <v>102</v>
      </c>
      <c r="C1132" t="str">
        <f t="shared" si="63"/>
        <v>46</v>
      </c>
      <c r="D1132" t="str">
        <f>"18"</f>
        <v>18</v>
      </c>
      <c r="E1132" t="str">
        <f>"102-46-18"</f>
        <v>102-46-18</v>
      </c>
      <c r="F1132" t="s">
        <v>18</v>
      </c>
      <c r="G1132" t="s">
        <v>20</v>
      </c>
      <c r="H1132">
        <v>1</v>
      </c>
      <c r="K1132">
        <v>1</v>
      </c>
      <c r="L1132">
        <v>0</v>
      </c>
      <c r="M1132">
        <v>1</v>
      </c>
      <c r="N1132">
        <v>0</v>
      </c>
    </row>
    <row r="1133" spans="1:14" x14ac:dyDescent="0.25">
      <c r="A1133" t="str">
        <f>"1129"</f>
        <v>1129</v>
      </c>
      <c r="B1133" t="str">
        <f t="shared" si="61"/>
        <v>102</v>
      </c>
      <c r="C1133" t="str">
        <f t="shared" si="63"/>
        <v>46</v>
      </c>
      <c r="D1133" t="str">
        <f>"11"</f>
        <v>11</v>
      </c>
      <c r="E1133" t="str">
        <f>"102-46-11"</f>
        <v>102-46-11</v>
      </c>
      <c r="F1133" t="s">
        <v>18</v>
      </c>
      <c r="G1133" t="s">
        <v>20</v>
      </c>
      <c r="H1133">
        <v>1</v>
      </c>
      <c r="K1133">
        <v>1</v>
      </c>
      <c r="L1133">
        <v>0</v>
      </c>
      <c r="M1133">
        <v>1</v>
      </c>
      <c r="N1133">
        <v>0</v>
      </c>
    </row>
    <row r="1134" spans="1:14" x14ac:dyDescent="0.25">
      <c r="A1134" t="str">
        <f>"1130"</f>
        <v>1130</v>
      </c>
      <c r="B1134" t="str">
        <f t="shared" si="61"/>
        <v>102</v>
      </c>
      <c r="C1134" t="str">
        <f t="shared" si="63"/>
        <v>46</v>
      </c>
      <c r="D1134" t="str">
        <f>"3"</f>
        <v>3</v>
      </c>
      <c r="E1134" t="str">
        <f>"102-46-3"</f>
        <v>102-46-3</v>
      </c>
      <c r="F1134" t="s">
        <v>18</v>
      </c>
      <c r="G1134" t="s">
        <v>20</v>
      </c>
      <c r="H1134">
        <v>1</v>
      </c>
      <c r="K1134">
        <v>0</v>
      </c>
      <c r="L1134">
        <v>1</v>
      </c>
      <c r="M1134">
        <v>0</v>
      </c>
      <c r="N1134">
        <v>1</v>
      </c>
    </row>
    <row r="1135" spans="1:14" x14ac:dyDescent="0.25">
      <c r="A1135" t="str">
        <f>"1131"</f>
        <v>1131</v>
      </c>
      <c r="B1135" t="str">
        <f t="shared" si="61"/>
        <v>102</v>
      </c>
      <c r="C1135" t="str">
        <f t="shared" si="63"/>
        <v>46</v>
      </c>
      <c r="D1135" t="str">
        <f>"23"</f>
        <v>23</v>
      </c>
      <c r="E1135" t="str">
        <f>"102-46-23"</f>
        <v>102-46-23</v>
      </c>
      <c r="F1135" t="s">
        <v>18</v>
      </c>
      <c r="G1135" t="s">
        <v>20</v>
      </c>
      <c r="H1135">
        <v>1</v>
      </c>
      <c r="K1135">
        <v>1</v>
      </c>
      <c r="L1135">
        <v>0</v>
      </c>
      <c r="M1135">
        <v>1</v>
      </c>
      <c r="N1135">
        <v>0</v>
      </c>
    </row>
    <row r="1136" spans="1:14" x14ac:dyDescent="0.25">
      <c r="A1136" t="str">
        <f>"1132"</f>
        <v>1132</v>
      </c>
      <c r="B1136" t="str">
        <f t="shared" si="61"/>
        <v>102</v>
      </c>
      <c r="C1136" t="str">
        <f t="shared" si="63"/>
        <v>46</v>
      </c>
      <c r="D1136" t="str">
        <f>"12"</f>
        <v>12</v>
      </c>
      <c r="E1136" t="str">
        <f>"102-46-12"</f>
        <v>102-46-12</v>
      </c>
      <c r="F1136" t="s">
        <v>18</v>
      </c>
      <c r="G1136" t="s">
        <v>20</v>
      </c>
      <c r="H1136">
        <v>1</v>
      </c>
      <c r="K1136">
        <v>1</v>
      </c>
      <c r="L1136">
        <v>0</v>
      </c>
      <c r="M1136">
        <v>1</v>
      </c>
      <c r="N1136">
        <v>0</v>
      </c>
    </row>
    <row r="1137" spans="1:16" x14ac:dyDescent="0.25">
      <c r="A1137" t="str">
        <f>"1133"</f>
        <v>1133</v>
      </c>
      <c r="B1137" t="str">
        <f t="shared" si="61"/>
        <v>102</v>
      </c>
      <c r="C1137" t="str">
        <f t="shared" si="63"/>
        <v>46</v>
      </c>
      <c r="D1137" t="str">
        <f>"1"</f>
        <v>1</v>
      </c>
      <c r="E1137" t="str">
        <f>"102-46-1"</f>
        <v>102-46-1</v>
      </c>
      <c r="F1137" t="s">
        <v>18</v>
      </c>
      <c r="G1137" t="s">
        <v>19</v>
      </c>
      <c r="H1137">
        <v>2</v>
      </c>
      <c r="I1137">
        <v>1</v>
      </c>
      <c r="J1137">
        <v>1</v>
      </c>
      <c r="K1137">
        <v>1</v>
      </c>
      <c r="L1137">
        <v>0</v>
      </c>
      <c r="M1137">
        <v>1</v>
      </c>
      <c r="N1137">
        <v>0</v>
      </c>
      <c r="O1137">
        <v>1</v>
      </c>
      <c r="P1137">
        <v>0</v>
      </c>
    </row>
    <row r="1138" spans="1:16" x14ac:dyDescent="0.25">
      <c r="A1138" t="str">
        <f>"1134"</f>
        <v>1134</v>
      </c>
      <c r="B1138" t="str">
        <f t="shared" si="61"/>
        <v>102</v>
      </c>
      <c r="C1138" t="str">
        <f t="shared" si="63"/>
        <v>46</v>
      </c>
      <c r="D1138" t="str">
        <f>"19"</f>
        <v>19</v>
      </c>
      <c r="E1138" t="str">
        <f>"102-46-19"</f>
        <v>102-46-19</v>
      </c>
      <c r="F1138" t="s">
        <v>18</v>
      </c>
      <c r="G1138" t="s">
        <v>20</v>
      </c>
      <c r="H1138">
        <v>1</v>
      </c>
      <c r="K1138">
        <v>0</v>
      </c>
      <c r="L1138">
        <v>1</v>
      </c>
      <c r="M1138">
        <v>0</v>
      </c>
      <c r="N1138">
        <v>1</v>
      </c>
    </row>
    <row r="1139" spans="1:16" x14ac:dyDescent="0.25">
      <c r="A1139" t="str">
        <f>"1135"</f>
        <v>1135</v>
      </c>
      <c r="B1139" t="str">
        <f t="shared" si="61"/>
        <v>102</v>
      </c>
      <c r="C1139" t="str">
        <f t="shared" si="63"/>
        <v>46</v>
      </c>
      <c r="D1139" t="str">
        <f>"13"</f>
        <v>13</v>
      </c>
      <c r="E1139" t="str">
        <f>"102-46-13"</f>
        <v>102-46-13</v>
      </c>
      <c r="F1139" t="s">
        <v>18</v>
      </c>
      <c r="G1139" t="s">
        <v>20</v>
      </c>
      <c r="H1139">
        <v>1</v>
      </c>
      <c r="K1139">
        <v>1</v>
      </c>
      <c r="L1139">
        <v>0</v>
      </c>
      <c r="M1139">
        <v>1</v>
      </c>
      <c r="N1139">
        <v>0</v>
      </c>
    </row>
    <row r="1140" spans="1:16" x14ac:dyDescent="0.25">
      <c r="A1140" t="str">
        <f>"1136"</f>
        <v>1136</v>
      </c>
      <c r="B1140" t="str">
        <f t="shared" si="61"/>
        <v>102</v>
      </c>
      <c r="C1140" t="str">
        <f t="shared" si="63"/>
        <v>46</v>
      </c>
      <c r="D1140" t="str">
        <f>"14"</f>
        <v>14</v>
      </c>
      <c r="E1140" t="str">
        <f>"102-46-14"</f>
        <v>102-46-14</v>
      </c>
      <c r="F1140" t="s">
        <v>18</v>
      </c>
      <c r="G1140" t="s">
        <v>19</v>
      </c>
      <c r="H1140">
        <v>2</v>
      </c>
      <c r="I1140">
        <v>1</v>
      </c>
      <c r="J1140">
        <v>0</v>
      </c>
      <c r="K1140">
        <v>0</v>
      </c>
      <c r="L1140">
        <v>1</v>
      </c>
      <c r="M1140">
        <v>0</v>
      </c>
      <c r="N1140">
        <v>1</v>
      </c>
      <c r="O1140">
        <v>0</v>
      </c>
      <c r="P1140">
        <v>1</v>
      </c>
    </row>
    <row r="1141" spans="1:16" x14ac:dyDescent="0.25">
      <c r="A1141" t="str">
        <f>"1137"</f>
        <v>1137</v>
      </c>
      <c r="B1141" t="str">
        <f t="shared" si="61"/>
        <v>102</v>
      </c>
      <c r="C1141" t="str">
        <f t="shared" si="63"/>
        <v>46</v>
      </c>
      <c r="D1141" t="str">
        <f>"2"</f>
        <v>2</v>
      </c>
      <c r="E1141" t="str">
        <f>"102-46-2"</f>
        <v>102-46-2</v>
      </c>
      <c r="F1141" t="s">
        <v>18</v>
      </c>
      <c r="G1141" t="s">
        <v>20</v>
      </c>
      <c r="H1141">
        <v>1</v>
      </c>
      <c r="K1141">
        <v>0</v>
      </c>
      <c r="L1141">
        <v>1</v>
      </c>
      <c r="M1141">
        <v>0</v>
      </c>
      <c r="N1141">
        <v>1</v>
      </c>
    </row>
    <row r="1142" spans="1:16" x14ac:dyDescent="0.25">
      <c r="A1142" t="str">
        <f>"1138"</f>
        <v>1138</v>
      </c>
      <c r="B1142" t="str">
        <f t="shared" si="61"/>
        <v>102</v>
      </c>
      <c r="C1142" t="str">
        <f t="shared" si="63"/>
        <v>46</v>
      </c>
      <c r="D1142" t="str">
        <f>"15"</f>
        <v>15</v>
      </c>
      <c r="E1142" t="str">
        <f>"102-46-15"</f>
        <v>102-46-15</v>
      </c>
      <c r="F1142" t="s">
        <v>18</v>
      </c>
      <c r="G1142" t="s">
        <v>19</v>
      </c>
      <c r="H1142">
        <v>2</v>
      </c>
      <c r="I1142">
        <v>1</v>
      </c>
      <c r="J1142">
        <v>0</v>
      </c>
      <c r="K1142">
        <v>0</v>
      </c>
      <c r="L1142">
        <v>1</v>
      </c>
      <c r="M1142">
        <v>0</v>
      </c>
      <c r="N1142">
        <v>1</v>
      </c>
      <c r="O1142">
        <v>0</v>
      </c>
      <c r="P1142">
        <v>1</v>
      </c>
    </row>
    <row r="1143" spans="1:16" x14ac:dyDescent="0.25">
      <c r="A1143" t="str">
        <f>"1139"</f>
        <v>1139</v>
      </c>
      <c r="B1143" t="str">
        <f t="shared" si="61"/>
        <v>102</v>
      </c>
      <c r="C1143" t="str">
        <f t="shared" si="63"/>
        <v>46</v>
      </c>
      <c r="D1143" t="str">
        <f>"5"</f>
        <v>5</v>
      </c>
      <c r="E1143" t="str">
        <f>"102-46-5"</f>
        <v>102-46-5</v>
      </c>
      <c r="F1143" t="s">
        <v>18</v>
      </c>
      <c r="G1143" t="s">
        <v>20</v>
      </c>
      <c r="H1143">
        <v>1</v>
      </c>
      <c r="K1143">
        <v>1</v>
      </c>
      <c r="L1143">
        <v>0</v>
      </c>
      <c r="M1143">
        <v>1</v>
      </c>
      <c r="N1143">
        <v>0</v>
      </c>
    </row>
    <row r="1144" spans="1:16" x14ac:dyDescent="0.25">
      <c r="A1144" t="str">
        <f>"1140"</f>
        <v>1140</v>
      </c>
      <c r="B1144" t="str">
        <f t="shared" si="61"/>
        <v>102</v>
      </c>
      <c r="C1144" t="str">
        <f t="shared" si="63"/>
        <v>46</v>
      </c>
      <c r="D1144" t="str">
        <f>"16"</f>
        <v>16</v>
      </c>
      <c r="E1144" t="str">
        <f>"102-46-16"</f>
        <v>102-46-16</v>
      </c>
      <c r="F1144" t="s">
        <v>18</v>
      </c>
      <c r="G1144" t="s">
        <v>20</v>
      </c>
      <c r="H1144">
        <v>1</v>
      </c>
      <c r="K1144">
        <v>1</v>
      </c>
      <c r="L1144">
        <v>0</v>
      </c>
      <c r="M1144">
        <v>1</v>
      </c>
      <c r="N1144">
        <v>0</v>
      </c>
    </row>
    <row r="1145" spans="1:16" x14ac:dyDescent="0.25">
      <c r="A1145" t="str">
        <f>"1141"</f>
        <v>1141</v>
      </c>
      <c r="B1145" t="str">
        <f t="shared" si="61"/>
        <v>102</v>
      </c>
      <c r="C1145" t="str">
        <f t="shared" si="63"/>
        <v>46</v>
      </c>
      <c r="D1145" t="str">
        <f>"4"</f>
        <v>4</v>
      </c>
      <c r="E1145" t="str">
        <f>"102-46-4"</f>
        <v>102-46-4</v>
      </c>
      <c r="F1145" t="s">
        <v>18</v>
      </c>
      <c r="G1145" t="s">
        <v>20</v>
      </c>
      <c r="H1145">
        <v>1</v>
      </c>
      <c r="K1145">
        <v>1</v>
      </c>
      <c r="L1145">
        <v>0</v>
      </c>
      <c r="M1145">
        <v>1</v>
      </c>
      <c r="N1145">
        <v>0</v>
      </c>
    </row>
    <row r="1146" spans="1:16" x14ac:dyDescent="0.25">
      <c r="A1146" t="str">
        <f>"1142"</f>
        <v>1142</v>
      </c>
      <c r="B1146" t="str">
        <f t="shared" si="61"/>
        <v>102</v>
      </c>
      <c r="C1146" t="str">
        <f t="shared" si="63"/>
        <v>46</v>
      </c>
      <c r="D1146" t="str">
        <f>"17"</f>
        <v>17</v>
      </c>
      <c r="E1146" t="str">
        <f>"102-46-17"</f>
        <v>102-46-17</v>
      </c>
      <c r="F1146" t="s">
        <v>18</v>
      </c>
      <c r="G1146" t="s">
        <v>20</v>
      </c>
      <c r="H1146">
        <v>1</v>
      </c>
      <c r="K1146">
        <v>1</v>
      </c>
      <c r="L1146">
        <v>0</v>
      </c>
      <c r="M1146">
        <v>1</v>
      </c>
      <c r="N1146">
        <v>0</v>
      </c>
    </row>
    <row r="1147" spans="1:16" x14ac:dyDescent="0.25">
      <c r="A1147" t="str">
        <f>"1143"</f>
        <v>1143</v>
      </c>
      <c r="B1147" t="str">
        <f t="shared" si="61"/>
        <v>102</v>
      </c>
      <c r="C1147" t="str">
        <f t="shared" si="63"/>
        <v>46</v>
      </c>
      <c r="D1147" t="str">
        <f>"10"</f>
        <v>10</v>
      </c>
      <c r="E1147" t="str">
        <f>"102-46-10"</f>
        <v>102-46-10</v>
      </c>
      <c r="F1147" t="s">
        <v>18</v>
      </c>
      <c r="G1147" t="s">
        <v>20</v>
      </c>
      <c r="H1147">
        <v>1</v>
      </c>
      <c r="K1147">
        <v>0</v>
      </c>
      <c r="L1147">
        <v>1</v>
      </c>
      <c r="M1147">
        <v>0</v>
      </c>
      <c r="N1147">
        <v>1</v>
      </c>
    </row>
    <row r="1148" spans="1:16" x14ac:dyDescent="0.25">
      <c r="A1148" t="str">
        <f>"1144"</f>
        <v>1144</v>
      </c>
      <c r="B1148" t="str">
        <f t="shared" si="61"/>
        <v>102</v>
      </c>
      <c r="C1148" t="str">
        <f t="shared" si="63"/>
        <v>46</v>
      </c>
      <c r="D1148" t="str">
        <f>"20"</f>
        <v>20</v>
      </c>
      <c r="E1148" t="str">
        <f>"102-46-20"</f>
        <v>102-46-20</v>
      </c>
      <c r="F1148" t="s">
        <v>18</v>
      </c>
      <c r="G1148" t="s">
        <v>20</v>
      </c>
      <c r="H1148">
        <v>1</v>
      </c>
      <c r="K1148">
        <v>1</v>
      </c>
      <c r="L1148">
        <v>0</v>
      </c>
      <c r="M1148">
        <v>1</v>
      </c>
      <c r="N1148">
        <v>0</v>
      </c>
    </row>
    <row r="1149" spans="1:16" x14ac:dyDescent="0.25">
      <c r="A1149" t="str">
        <f>"1145"</f>
        <v>1145</v>
      </c>
      <c r="B1149" t="str">
        <f t="shared" si="61"/>
        <v>102</v>
      </c>
      <c r="C1149" t="str">
        <f t="shared" si="63"/>
        <v>46</v>
      </c>
      <c r="D1149" t="str">
        <f>"8"</f>
        <v>8</v>
      </c>
      <c r="E1149" t="str">
        <f>"102-46-8"</f>
        <v>102-46-8</v>
      </c>
      <c r="F1149" t="s">
        <v>18</v>
      </c>
      <c r="G1149" t="s">
        <v>19</v>
      </c>
      <c r="H1149">
        <v>2</v>
      </c>
      <c r="I1149">
        <v>1</v>
      </c>
      <c r="J1149">
        <v>1</v>
      </c>
      <c r="K1149">
        <v>1</v>
      </c>
      <c r="L1149">
        <v>0</v>
      </c>
      <c r="M1149">
        <v>0</v>
      </c>
      <c r="N1149">
        <v>1</v>
      </c>
      <c r="O1149">
        <v>1</v>
      </c>
      <c r="P1149">
        <v>0</v>
      </c>
    </row>
    <row r="1150" spans="1:16" x14ac:dyDescent="0.25">
      <c r="A1150" t="str">
        <f>"1146"</f>
        <v>1146</v>
      </c>
      <c r="B1150" t="str">
        <f t="shared" si="61"/>
        <v>102</v>
      </c>
      <c r="C1150" t="str">
        <f t="shared" si="63"/>
        <v>46</v>
      </c>
      <c r="D1150" t="str">
        <f>"21"</f>
        <v>21</v>
      </c>
      <c r="E1150" t="str">
        <f>"102-46-21"</f>
        <v>102-46-21</v>
      </c>
      <c r="F1150" t="s">
        <v>18</v>
      </c>
      <c r="G1150" t="s">
        <v>20</v>
      </c>
      <c r="H1150">
        <v>1</v>
      </c>
      <c r="K1150">
        <v>1</v>
      </c>
      <c r="L1150">
        <v>0</v>
      </c>
      <c r="M1150">
        <v>1</v>
      </c>
      <c r="N1150">
        <v>0</v>
      </c>
    </row>
    <row r="1151" spans="1:16" x14ac:dyDescent="0.25">
      <c r="A1151" t="str">
        <f>"1147"</f>
        <v>1147</v>
      </c>
      <c r="B1151" t="str">
        <f t="shared" si="61"/>
        <v>102</v>
      </c>
      <c r="C1151" t="str">
        <f t="shared" si="63"/>
        <v>46</v>
      </c>
      <c r="D1151" t="str">
        <f>"6"</f>
        <v>6</v>
      </c>
      <c r="E1151" t="str">
        <f>"102-46-6"</f>
        <v>102-46-6</v>
      </c>
      <c r="F1151" t="s">
        <v>18</v>
      </c>
      <c r="G1151" t="s">
        <v>19</v>
      </c>
      <c r="H1151">
        <v>2</v>
      </c>
      <c r="I1151">
        <v>1</v>
      </c>
      <c r="J1151">
        <v>1</v>
      </c>
      <c r="K1151">
        <v>1</v>
      </c>
      <c r="L1151">
        <v>0</v>
      </c>
      <c r="M1151">
        <v>0</v>
      </c>
      <c r="N1151">
        <v>1</v>
      </c>
      <c r="O1151">
        <v>1</v>
      </c>
      <c r="P1151">
        <v>0</v>
      </c>
    </row>
    <row r="1152" spans="1:16" x14ac:dyDescent="0.25">
      <c r="A1152" t="str">
        <f>"1148"</f>
        <v>1148</v>
      </c>
      <c r="B1152" t="str">
        <f t="shared" si="61"/>
        <v>102</v>
      </c>
      <c r="C1152" t="str">
        <f t="shared" si="63"/>
        <v>46</v>
      </c>
      <c r="D1152" t="str">
        <f>"22"</f>
        <v>22</v>
      </c>
      <c r="E1152" t="str">
        <f>"102-46-22"</f>
        <v>102-46-22</v>
      </c>
      <c r="F1152" t="s">
        <v>18</v>
      </c>
      <c r="G1152" t="s">
        <v>20</v>
      </c>
      <c r="H1152">
        <v>1</v>
      </c>
      <c r="K1152">
        <v>1</v>
      </c>
      <c r="L1152">
        <v>0</v>
      </c>
      <c r="M1152">
        <v>1</v>
      </c>
      <c r="N1152">
        <v>0</v>
      </c>
    </row>
    <row r="1153" spans="1:16" x14ac:dyDescent="0.25">
      <c r="A1153" t="str">
        <f>"1149"</f>
        <v>1149</v>
      </c>
      <c r="B1153" t="str">
        <f t="shared" si="61"/>
        <v>102</v>
      </c>
      <c r="C1153" t="str">
        <f t="shared" si="63"/>
        <v>46</v>
      </c>
      <c r="D1153" t="str">
        <f>"7"</f>
        <v>7</v>
      </c>
      <c r="E1153" t="str">
        <f>"102-46-7"</f>
        <v>102-46-7</v>
      </c>
      <c r="F1153" t="s">
        <v>18</v>
      </c>
      <c r="G1153" t="s">
        <v>19</v>
      </c>
      <c r="H1153">
        <v>2</v>
      </c>
      <c r="I1153">
        <v>1</v>
      </c>
      <c r="J1153">
        <v>1</v>
      </c>
      <c r="K1153">
        <v>1</v>
      </c>
      <c r="L1153">
        <v>0</v>
      </c>
      <c r="M1153">
        <v>0</v>
      </c>
      <c r="N1153">
        <v>1</v>
      </c>
      <c r="O1153">
        <v>1</v>
      </c>
      <c r="P1153">
        <v>0</v>
      </c>
    </row>
    <row r="1154" spans="1:16" x14ac:dyDescent="0.25">
      <c r="A1154" t="str">
        <f>"1150"</f>
        <v>1150</v>
      </c>
      <c r="B1154" t="str">
        <f t="shared" si="61"/>
        <v>102</v>
      </c>
      <c r="C1154" t="str">
        <f t="shared" si="63"/>
        <v>46</v>
      </c>
      <c r="D1154" t="str">
        <f>"9"</f>
        <v>9</v>
      </c>
      <c r="E1154" t="str">
        <f>"102-46-9"</f>
        <v>102-46-9</v>
      </c>
      <c r="F1154" t="s">
        <v>18</v>
      </c>
      <c r="G1154" t="s">
        <v>20</v>
      </c>
      <c r="H1154">
        <v>1</v>
      </c>
      <c r="K1154">
        <v>0</v>
      </c>
      <c r="L1154">
        <v>1</v>
      </c>
      <c r="M1154">
        <v>0</v>
      </c>
      <c r="N1154">
        <v>1</v>
      </c>
    </row>
    <row r="1155" spans="1:16" x14ac:dyDescent="0.25">
      <c r="A1155" t="str">
        <f>"1151"</f>
        <v>1151</v>
      </c>
      <c r="B1155" t="str">
        <f t="shared" si="61"/>
        <v>102</v>
      </c>
      <c r="C1155" t="str">
        <f t="shared" ref="C1155:C1179" si="64">"47"</f>
        <v>47</v>
      </c>
      <c r="D1155" t="str">
        <f>"25"</f>
        <v>25</v>
      </c>
      <c r="E1155" t="str">
        <f>"102-47-25"</f>
        <v>102-47-25</v>
      </c>
      <c r="F1155" t="s">
        <v>18</v>
      </c>
      <c r="G1155" t="s">
        <v>20</v>
      </c>
      <c r="H1155">
        <v>1</v>
      </c>
      <c r="K1155">
        <v>0</v>
      </c>
      <c r="L1155">
        <v>1</v>
      </c>
      <c r="M1155">
        <v>0</v>
      </c>
      <c r="N1155">
        <v>1</v>
      </c>
    </row>
    <row r="1156" spans="1:16" x14ac:dyDescent="0.25">
      <c r="A1156" t="str">
        <f>"1152"</f>
        <v>1152</v>
      </c>
      <c r="B1156" t="str">
        <f t="shared" si="61"/>
        <v>102</v>
      </c>
      <c r="C1156" t="str">
        <f t="shared" si="64"/>
        <v>47</v>
      </c>
      <c r="D1156" t="str">
        <f>"24"</f>
        <v>24</v>
      </c>
      <c r="E1156" t="str">
        <f>"102-47-24"</f>
        <v>102-47-24</v>
      </c>
      <c r="F1156" t="s">
        <v>18</v>
      </c>
      <c r="G1156" t="s">
        <v>20</v>
      </c>
      <c r="H1156">
        <v>1</v>
      </c>
      <c r="K1156">
        <v>0</v>
      </c>
      <c r="L1156">
        <v>1</v>
      </c>
      <c r="M1156">
        <v>0</v>
      </c>
      <c r="N1156">
        <v>1</v>
      </c>
    </row>
    <row r="1157" spans="1:16" x14ac:dyDescent="0.25">
      <c r="A1157" t="str">
        <f>"1153"</f>
        <v>1153</v>
      </c>
      <c r="B1157" t="str">
        <f t="shared" ref="B1157:B1220" si="65">"102"</f>
        <v>102</v>
      </c>
      <c r="C1157" t="str">
        <f t="shared" si="64"/>
        <v>47</v>
      </c>
      <c r="D1157" t="str">
        <f>"19"</f>
        <v>19</v>
      </c>
      <c r="E1157" t="str">
        <f>"102-47-19"</f>
        <v>102-47-19</v>
      </c>
      <c r="F1157" t="s">
        <v>18</v>
      </c>
      <c r="G1157" t="s">
        <v>20</v>
      </c>
      <c r="H1157">
        <v>1</v>
      </c>
      <c r="K1157">
        <v>0</v>
      </c>
      <c r="L1157">
        <v>1</v>
      </c>
      <c r="M1157">
        <v>0</v>
      </c>
      <c r="N1157">
        <v>1</v>
      </c>
    </row>
    <row r="1158" spans="1:16" x14ac:dyDescent="0.25">
      <c r="A1158" t="str">
        <f>"1154"</f>
        <v>1154</v>
      </c>
      <c r="B1158" t="str">
        <f t="shared" si="65"/>
        <v>102</v>
      </c>
      <c r="C1158" t="str">
        <f t="shared" si="64"/>
        <v>47</v>
      </c>
      <c r="D1158" t="str">
        <f>"11"</f>
        <v>11</v>
      </c>
      <c r="E1158" t="str">
        <f>"102-47-11"</f>
        <v>102-47-11</v>
      </c>
      <c r="F1158" t="s">
        <v>18</v>
      </c>
      <c r="G1158" t="s">
        <v>19</v>
      </c>
      <c r="H1158">
        <v>2</v>
      </c>
      <c r="I1158">
        <v>1</v>
      </c>
      <c r="J1158">
        <v>0</v>
      </c>
      <c r="K1158">
        <v>0</v>
      </c>
      <c r="L1158">
        <v>1</v>
      </c>
      <c r="M1158">
        <v>0</v>
      </c>
      <c r="N1158">
        <v>1</v>
      </c>
      <c r="O1158">
        <v>0</v>
      </c>
      <c r="P1158">
        <v>1</v>
      </c>
    </row>
    <row r="1159" spans="1:16" x14ac:dyDescent="0.25">
      <c r="A1159" t="str">
        <f>"1155"</f>
        <v>1155</v>
      </c>
      <c r="B1159" t="str">
        <f t="shared" si="65"/>
        <v>102</v>
      </c>
      <c r="C1159" t="str">
        <f t="shared" si="64"/>
        <v>47</v>
      </c>
      <c r="D1159" t="str">
        <f>"1"</f>
        <v>1</v>
      </c>
      <c r="E1159" t="str">
        <f>"102-47-1"</f>
        <v>102-47-1</v>
      </c>
      <c r="F1159" t="s">
        <v>18</v>
      </c>
      <c r="G1159" t="s">
        <v>20</v>
      </c>
      <c r="H1159">
        <v>1</v>
      </c>
      <c r="K1159">
        <v>0</v>
      </c>
      <c r="L1159">
        <v>1</v>
      </c>
      <c r="M1159">
        <v>0</v>
      </c>
      <c r="N1159">
        <v>1</v>
      </c>
    </row>
    <row r="1160" spans="1:16" x14ac:dyDescent="0.25">
      <c r="A1160" t="str">
        <f>"1156"</f>
        <v>1156</v>
      </c>
      <c r="B1160" t="str">
        <f t="shared" si="65"/>
        <v>102</v>
      </c>
      <c r="C1160" t="str">
        <f t="shared" si="64"/>
        <v>47</v>
      </c>
      <c r="D1160" t="str">
        <f>"23"</f>
        <v>23</v>
      </c>
      <c r="E1160" t="str">
        <f>"102-47-23"</f>
        <v>102-47-23</v>
      </c>
      <c r="F1160" t="s">
        <v>18</v>
      </c>
      <c r="G1160" t="s">
        <v>20</v>
      </c>
      <c r="H1160">
        <v>1</v>
      </c>
      <c r="K1160">
        <v>0</v>
      </c>
      <c r="L1160">
        <v>1</v>
      </c>
      <c r="M1160">
        <v>0</v>
      </c>
      <c r="N1160">
        <v>1</v>
      </c>
    </row>
    <row r="1161" spans="1:16" x14ac:dyDescent="0.25">
      <c r="A1161" t="str">
        <f>"1157"</f>
        <v>1157</v>
      </c>
      <c r="B1161" t="str">
        <f t="shared" si="65"/>
        <v>102</v>
      </c>
      <c r="C1161" t="str">
        <f t="shared" si="64"/>
        <v>47</v>
      </c>
      <c r="D1161" t="str">
        <f>"12"</f>
        <v>12</v>
      </c>
      <c r="E1161" t="str">
        <f>"102-47-12"</f>
        <v>102-47-12</v>
      </c>
      <c r="F1161" t="s">
        <v>18</v>
      </c>
      <c r="G1161" t="s">
        <v>19</v>
      </c>
      <c r="H1161">
        <v>2</v>
      </c>
      <c r="I1161">
        <v>1</v>
      </c>
      <c r="J1161">
        <v>0</v>
      </c>
      <c r="K1161">
        <v>0</v>
      </c>
      <c r="L1161">
        <v>1</v>
      </c>
      <c r="M1161">
        <v>0</v>
      </c>
      <c r="N1161">
        <v>1</v>
      </c>
      <c r="O1161">
        <v>0</v>
      </c>
      <c r="P1161">
        <v>1</v>
      </c>
    </row>
    <row r="1162" spans="1:16" x14ac:dyDescent="0.25">
      <c r="A1162" t="str">
        <f>"1158"</f>
        <v>1158</v>
      </c>
      <c r="B1162" t="str">
        <f t="shared" si="65"/>
        <v>102</v>
      </c>
      <c r="C1162" t="str">
        <f t="shared" si="64"/>
        <v>47</v>
      </c>
      <c r="D1162" t="str">
        <f>"4"</f>
        <v>4</v>
      </c>
      <c r="E1162" t="str">
        <f>"102-47-4"</f>
        <v>102-47-4</v>
      </c>
      <c r="F1162" t="s">
        <v>18</v>
      </c>
      <c r="G1162" t="s">
        <v>20</v>
      </c>
      <c r="H1162">
        <v>1</v>
      </c>
      <c r="K1162">
        <v>0</v>
      </c>
      <c r="L1162">
        <v>1</v>
      </c>
      <c r="M1162">
        <v>0</v>
      </c>
      <c r="N1162">
        <v>1</v>
      </c>
    </row>
    <row r="1163" spans="1:16" x14ac:dyDescent="0.25">
      <c r="A1163" t="str">
        <f>"1159"</f>
        <v>1159</v>
      </c>
      <c r="B1163" t="str">
        <f t="shared" si="65"/>
        <v>102</v>
      </c>
      <c r="C1163" t="str">
        <f t="shared" si="64"/>
        <v>47</v>
      </c>
      <c r="D1163" t="str">
        <f>"22"</f>
        <v>22</v>
      </c>
      <c r="E1163" t="str">
        <f>"102-47-22"</f>
        <v>102-47-22</v>
      </c>
      <c r="F1163" t="s">
        <v>18</v>
      </c>
      <c r="G1163" t="s">
        <v>20</v>
      </c>
      <c r="H1163">
        <v>1</v>
      </c>
      <c r="K1163">
        <v>0</v>
      </c>
      <c r="L1163">
        <v>1</v>
      </c>
      <c r="M1163">
        <v>0</v>
      </c>
      <c r="N1163">
        <v>1</v>
      </c>
    </row>
    <row r="1164" spans="1:16" x14ac:dyDescent="0.25">
      <c r="A1164" t="str">
        <f>"1160"</f>
        <v>1160</v>
      </c>
      <c r="B1164" t="str">
        <f t="shared" si="65"/>
        <v>102</v>
      </c>
      <c r="C1164" t="str">
        <f t="shared" si="64"/>
        <v>47</v>
      </c>
      <c r="D1164" t="str">
        <f>"13"</f>
        <v>13</v>
      </c>
      <c r="E1164" t="str">
        <f>"102-47-13"</f>
        <v>102-47-13</v>
      </c>
      <c r="F1164" t="s">
        <v>18</v>
      </c>
      <c r="G1164" t="s">
        <v>19</v>
      </c>
      <c r="H1164">
        <v>2</v>
      </c>
      <c r="I1164">
        <v>1</v>
      </c>
      <c r="J1164">
        <v>0</v>
      </c>
      <c r="K1164">
        <v>1</v>
      </c>
      <c r="L1164">
        <v>0</v>
      </c>
      <c r="M1164">
        <v>1</v>
      </c>
      <c r="N1164">
        <v>0</v>
      </c>
      <c r="O1164">
        <v>0</v>
      </c>
      <c r="P1164">
        <v>1</v>
      </c>
    </row>
    <row r="1165" spans="1:16" x14ac:dyDescent="0.25">
      <c r="A1165" t="str">
        <f>"1161"</f>
        <v>1161</v>
      </c>
      <c r="B1165" t="str">
        <f t="shared" si="65"/>
        <v>102</v>
      </c>
      <c r="C1165" t="str">
        <f t="shared" si="64"/>
        <v>47</v>
      </c>
      <c r="D1165" t="str">
        <f>"2"</f>
        <v>2</v>
      </c>
      <c r="E1165" t="str">
        <f>"102-47-2"</f>
        <v>102-47-2</v>
      </c>
      <c r="F1165" t="s">
        <v>18</v>
      </c>
      <c r="G1165" t="s">
        <v>20</v>
      </c>
      <c r="H1165">
        <v>1</v>
      </c>
      <c r="K1165">
        <v>0</v>
      </c>
      <c r="L1165">
        <v>1</v>
      </c>
      <c r="M1165">
        <v>0</v>
      </c>
      <c r="N1165">
        <v>1</v>
      </c>
    </row>
    <row r="1166" spans="1:16" x14ac:dyDescent="0.25">
      <c r="A1166" t="str">
        <f>"1162"</f>
        <v>1162</v>
      </c>
      <c r="B1166" t="str">
        <f t="shared" si="65"/>
        <v>102</v>
      </c>
      <c r="C1166" t="str">
        <f t="shared" si="64"/>
        <v>47</v>
      </c>
      <c r="D1166" t="str">
        <f>"14"</f>
        <v>14</v>
      </c>
      <c r="E1166" t="str">
        <f>"102-47-14"</f>
        <v>102-47-14</v>
      </c>
      <c r="F1166" t="s">
        <v>18</v>
      </c>
      <c r="G1166" t="s">
        <v>19</v>
      </c>
      <c r="H1166">
        <v>2</v>
      </c>
      <c r="I1166">
        <v>1</v>
      </c>
      <c r="J1166">
        <v>0</v>
      </c>
      <c r="K1166">
        <v>1</v>
      </c>
      <c r="L1166">
        <v>0</v>
      </c>
      <c r="M1166">
        <v>1</v>
      </c>
      <c r="N1166">
        <v>0</v>
      </c>
      <c r="O1166">
        <v>0</v>
      </c>
      <c r="P1166">
        <v>1</v>
      </c>
    </row>
    <row r="1167" spans="1:16" x14ac:dyDescent="0.25">
      <c r="A1167" t="str">
        <f>"1163"</f>
        <v>1163</v>
      </c>
      <c r="B1167" t="str">
        <f t="shared" si="65"/>
        <v>102</v>
      </c>
      <c r="C1167" t="str">
        <f t="shared" si="64"/>
        <v>47</v>
      </c>
      <c r="D1167" t="str">
        <f>"3"</f>
        <v>3</v>
      </c>
      <c r="E1167" t="str">
        <f>"102-47-3"</f>
        <v>102-47-3</v>
      </c>
      <c r="F1167" t="s">
        <v>18</v>
      </c>
      <c r="G1167" t="s">
        <v>20</v>
      </c>
      <c r="H1167">
        <v>1</v>
      </c>
      <c r="K1167">
        <v>0</v>
      </c>
      <c r="L1167">
        <v>1</v>
      </c>
      <c r="M1167">
        <v>0</v>
      </c>
      <c r="N1167">
        <v>1</v>
      </c>
    </row>
    <row r="1168" spans="1:16" x14ac:dyDescent="0.25">
      <c r="A1168" t="str">
        <f>"1164"</f>
        <v>1164</v>
      </c>
      <c r="B1168" t="str">
        <f t="shared" si="65"/>
        <v>102</v>
      </c>
      <c r="C1168" t="str">
        <f t="shared" si="64"/>
        <v>47</v>
      </c>
      <c r="D1168" t="str">
        <f>"15"</f>
        <v>15</v>
      </c>
      <c r="E1168" t="str">
        <f>"102-47-15"</f>
        <v>102-47-15</v>
      </c>
      <c r="F1168" t="s">
        <v>18</v>
      </c>
      <c r="G1168" t="s">
        <v>19</v>
      </c>
      <c r="H1168">
        <v>2</v>
      </c>
      <c r="I1168">
        <v>0</v>
      </c>
      <c r="J1168">
        <v>0</v>
      </c>
      <c r="K1168">
        <v>0</v>
      </c>
      <c r="L1168">
        <v>1</v>
      </c>
      <c r="M1168">
        <v>0</v>
      </c>
      <c r="N1168">
        <v>1</v>
      </c>
      <c r="O1168">
        <v>0</v>
      </c>
      <c r="P1168">
        <v>0</v>
      </c>
    </row>
    <row r="1169" spans="1:16" x14ac:dyDescent="0.25">
      <c r="A1169" t="str">
        <f>"1165"</f>
        <v>1165</v>
      </c>
      <c r="B1169" t="str">
        <f t="shared" si="65"/>
        <v>102</v>
      </c>
      <c r="C1169" t="str">
        <f t="shared" si="64"/>
        <v>47</v>
      </c>
      <c r="D1169" t="str">
        <f>"6"</f>
        <v>6</v>
      </c>
      <c r="E1169" t="str">
        <f>"102-47-6"</f>
        <v>102-47-6</v>
      </c>
      <c r="F1169" t="s">
        <v>18</v>
      </c>
      <c r="G1169" t="s">
        <v>19</v>
      </c>
      <c r="H1169">
        <v>2</v>
      </c>
      <c r="I1169">
        <v>1</v>
      </c>
      <c r="J1169">
        <v>1</v>
      </c>
      <c r="K1169">
        <v>1</v>
      </c>
      <c r="L1169">
        <v>0</v>
      </c>
      <c r="M1169">
        <v>0</v>
      </c>
      <c r="N1169">
        <v>1</v>
      </c>
      <c r="O1169">
        <v>1</v>
      </c>
      <c r="P1169">
        <v>0</v>
      </c>
    </row>
    <row r="1170" spans="1:16" x14ac:dyDescent="0.25">
      <c r="A1170" t="str">
        <f>"1166"</f>
        <v>1166</v>
      </c>
      <c r="B1170" t="str">
        <f t="shared" si="65"/>
        <v>102</v>
      </c>
      <c r="C1170" t="str">
        <f t="shared" si="64"/>
        <v>47</v>
      </c>
      <c r="D1170" t="str">
        <f>"16"</f>
        <v>16</v>
      </c>
      <c r="E1170" t="str">
        <f>"102-47-16"</f>
        <v>102-47-16</v>
      </c>
      <c r="F1170" t="s">
        <v>18</v>
      </c>
      <c r="G1170" t="s">
        <v>19</v>
      </c>
      <c r="H1170">
        <v>2</v>
      </c>
      <c r="I1170">
        <v>1</v>
      </c>
      <c r="J1170">
        <v>1</v>
      </c>
      <c r="K1170">
        <v>0</v>
      </c>
      <c r="L1170">
        <v>1</v>
      </c>
      <c r="M1170">
        <v>0</v>
      </c>
      <c r="N1170">
        <v>1</v>
      </c>
      <c r="O1170">
        <v>1</v>
      </c>
      <c r="P1170">
        <v>0</v>
      </c>
    </row>
    <row r="1171" spans="1:16" x14ac:dyDescent="0.25">
      <c r="A1171" t="str">
        <f>"1167"</f>
        <v>1167</v>
      </c>
      <c r="B1171" t="str">
        <f t="shared" si="65"/>
        <v>102</v>
      </c>
      <c r="C1171" t="str">
        <f t="shared" si="64"/>
        <v>47</v>
      </c>
      <c r="D1171" t="str">
        <f>"9"</f>
        <v>9</v>
      </c>
      <c r="E1171" t="str">
        <f>"102-47-9"</f>
        <v>102-47-9</v>
      </c>
      <c r="F1171" t="s">
        <v>18</v>
      </c>
      <c r="G1171" t="s">
        <v>19</v>
      </c>
      <c r="H1171">
        <v>2</v>
      </c>
      <c r="I1171">
        <v>1</v>
      </c>
      <c r="J1171">
        <v>1</v>
      </c>
      <c r="K1171">
        <v>0</v>
      </c>
      <c r="L1171">
        <v>1</v>
      </c>
      <c r="M1171">
        <v>0</v>
      </c>
      <c r="N1171">
        <v>1</v>
      </c>
      <c r="O1171">
        <v>0</v>
      </c>
      <c r="P1171">
        <v>1</v>
      </c>
    </row>
    <row r="1172" spans="1:16" x14ac:dyDescent="0.25">
      <c r="A1172" t="str">
        <f>"1168"</f>
        <v>1168</v>
      </c>
      <c r="B1172" t="str">
        <f t="shared" si="65"/>
        <v>102</v>
      </c>
      <c r="C1172" t="str">
        <f t="shared" si="64"/>
        <v>47</v>
      </c>
      <c r="D1172" t="str">
        <f>"17"</f>
        <v>17</v>
      </c>
      <c r="E1172" t="str">
        <f>"102-47-17"</f>
        <v>102-47-17</v>
      </c>
      <c r="F1172" t="s">
        <v>18</v>
      </c>
      <c r="G1172" t="s">
        <v>19</v>
      </c>
      <c r="H1172">
        <v>2</v>
      </c>
      <c r="I1172">
        <v>1</v>
      </c>
      <c r="J1172">
        <v>1</v>
      </c>
      <c r="K1172">
        <v>0</v>
      </c>
      <c r="L1172">
        <v>1</v>
      </c>
      <c r="M1172">
        <v>0</v>
      </c>
      <c r="N1172">
        <v>1</v>
      </c>
      <c r="O1172">
        <v>0</v>
      </c>
      <c r="P1172">
        <v>1</v>
      </c>
    </row>
    <row r="1173" spans="1:16" x14ac:dyDescent="0.25">
      <c r="A1173" t="str">
        <f>"1169"</f>
        <v>1169</v>
      </c>
      <c r="B1173" t="str">
        <f t="shared" si="65"/>
        <v>102</v>
      </c>
      <c r="C1173" t="str">
        <f t="shared" si="64"/>
        <v>47</v>
      </c>
      <c r="D1173" t="str">
        <f>"10"</f>
        <v>10</v>
      </c>
      <c r="E1173" t="str">
        <f>"102-47-10"</f>
        <v>102-47-10</v>
      </c>
      <c r="F1173" t="s">
        <v>18</v>
      </c>
      <c r="G1173" t="s">
        <v>19</v>
      </c>
      <c r="H1173">
        <v>2</v>
      </c>
      <c r="I1173">
        <v>1</v>
      </c>
      <c r="J1173">
        <v>1</v>
      </c>
      <c r="K1173">
        <v>1</v>
      </c>
      <c r="L1173">
        <v>0</v>
      </c>
      <c r="M1173">
        <v>1</v>
      </c>
      <c r="N1173">
        <v>0</v>
      </c>
      <c r="O1173">
        <v>1</v>
      </c>
      <c r="P1173">
        <v>0</v>
      </c>
    </row>
    <row r="1174" spans="1:16" x14ac:dyDescent="0.25">
      <c r="A1174" t="str">
        <f>"1170"</f>
        <v>1170</v>
      </c>
      <c r="B1174" t="str">
        <f t="shared" si="65"/>
        <v>102</v>
      </c>
      <c r="C1174" t="str">
        <f t="shared" si="64"/>
        <v>47</v>
      </c>
      <c r="D1174" t="str">
        <f>"18"</f>
        <v>18</v>
      </c>
      <c r="E1174" t="str">
        <f>"102-47-18"</f>
        <v>102-47-18</v>
      </c>
      <c r="F1174" t="s">
        <v>18</v>
      </c>
      <c r="G1174" t="s">
        <v>19</v>
      </c>
      <c r="H1174">
        <v>2</v>
      </c>
      <c r="I1174">
        <v>1</v>
      </c>
      <c r="J1174">
        <v>0</v>
      </c>
      <c r="K1174">
        <v>0</v>
      </c>
      <c r="L1174">
        <v>1</v>
      </c>
      <c r="M1174">
        <v>0</v>
      </c>
      <c r="N1174">
        <v>1</v>
      </c>
      <c r="O1174">
        <v>0</v>
      </c>
      <c r="P1174">
        <v>1</v>
      </c>
    </row>
    <row r="1175" spans="1:16" x14ac:dyDescent="0.25">
      <c r="A1175" t="str">
        <f>"1171"</f>
        <v>1171</v>
      </c>
      <c r="B1175" t="str">
        <f t="shared" si="65"/>
        <v>102</v>
      </c>
      <c r="C1175" t="str">
        <f t="shared" si="64"/>
        <v>47</v>
      </c>
      <c r="D1175" t="str">
        <f>"5"</f>
        <v>5</v>
      </c>
      <c r="E1175" t="str">
        <f>"102-47-5"</f>
        <v>102-47-5</v>
      </c>
      <c r="F1175" t="s">
        <v>18</v>
      </c>
      <c r="G1175" t="s">
        <v>19</v>
      </c>
      <c r="H1175">
        <v>2</v>
      </c>
      <c r="I1175">
        <v>1</v>
      </c>
      <c r="J1175">
        <v>1</v>
      </c>
      <c r="K1175">
        <v>1</v>
      </c>
      <c r="L1175">
        <v>0</v>
      </c>
      <c r="M1175">
        <v>0</v>
      </c>
      <c r="N1175">
        <v>1</v>
      </c>
      <c r="O1175">
        <v>1</v>
      </c>
      <c r="P1175">
        <v>0</v>
      </c>
    </row>
    <row r="1176" spans="1:16" x14ac:dyDescent="0.25">
      <c r="A1176" t="str">
        <f>"1172"</f>
        <v>1172</v>
      </c>
      <c r="B1176" t="str">
        <f t="shared" si="65"/>
        <v>102</v>
      </c>
      <c r="C1176" t="str">
        <f t="shared" si="64"/>
        <v>47</v>
      </c>
      <c r="D1176" t="str">
        <f>"20"</f>
        <v>20</v>
      </c>
      <c r="E1176" t="str">
        <f>"102-47-20"</f>
        <v>102-47-20</v>
      </c>
      <c r="F1176" t="s">
        <v>18</v>
      </c>
      <c r="G1176" t="s">
        <v>20</v>
      </c>
      <c r="H1176">
        <v>1</v>
      </c>
      <c r="K1176">
        <v>0</v>
      </c>
      <c r="L1176">
        <v>1</v>
      </c>
      <c r="M1176">
        <v>0</v>
      </c>
      <c r="N1176">
        <v>1</v>
      </c>
    </row>
    <row r="1177" spans="1:16" x14ac:dyDescent="0.25">
      <c r="A1177" t="str">
        <f>"1173"</f>
        <v>1173</v>
      </c>
      <c r="B1177" t="str">
        <f t="shared" si="65"/>
        <v>102</v>
      </c>
      <c r="C1177" t="str">
        <f t="shared" si="64"/>
        <v>47</v>
      </c>
      <c r="D1177" t="str">
        <f>"7"</f>
        <v>7</v>
      </c>
      <c r="E1177" t="str">
        <f>"102-47-7"</f>
        <v>102-47-7</v>
      </c>
      <c r="F1177" t="s">
        <v>18</v>
      </c>
      <c r="G1177" t="s">
        <v>19</v>
      </c>
      <c r="H1177">
        <v>2</v>
      </c>
      <c r="I1177">
        <v>1</v>
      </c>
      <c r="J1177">
        <v>1</v>
      </c>
      <c r="K1177">
        <v>0</v>
      </c>
      <c r="L1177">
        <v>1</v>
      </c>
      <c r="M1177">
        <v>0</v>
      </c>
      <c r="N1177">
        <v>1</v>
      </c>
      <c r="O1177">
        <v>0</v>
      </c>
      <c r="P1177">
        <v>1</v>
      </c>
    </row>
    <row r="1178" spans="1:16" x14ac:dyDescent="0.25">
      <c r="A1178" t="str">
        <f>"1174"</f>
        <v>1174</v>
      </c>
      <c r="B1178" t="str">
        <f t="shared" si="65"/>
        <v>102</v>
      </c>
      <c r="C1178" t="str">
        <f t="shared" si="64"/>
        <v>47</v>
      </c>
      <c r="D1178" t="str">
        <f>"21"</f>
        <v>21</v>
      </c>
      <c r="E1178" t="str">
        <f>"102-47-21"</f>
        <v>102-47-21</v>
      </c>
      <c r="F1178" t="s">
        <v>18</v>
      </c>
      <c r="G1178" t="s">
        <v>20</v>
      </c>
      <c r="H1178">
        <v>1</v>
      </c>
      <c r="K1178">
        <v>0</v>
      </c>
      <c r="L1178">
        <v>1</v>
      </c>
      <c r="M1178">
        <v>0</v>
      </c>
      <c r="N1178">
        <v>1</v>
      </c>
    </row>
    <row r="1179" spans="1:16" x14ac:dyDescent="0.25">
      <c r="A1179" t="str">
        <f>"1175"</f>
        <v>1175</v>
      </c>
      <c r="B1179" t="str">
        <f t="shared" si="65"/>
        <v>102</v>
      </c>
      <c r="C1179" t="str">
        <f t="shared" si="64"/>
        <v>47</v>
      </c>
      <c r="D1179" t="str">
        <f>"8"</f>
        <v>8</v>
      </c>
      <c r="E1179" t="str">
        <f>"102-47-8"</f>
        <v>102-47-8</v>
      </c>
      <c r="F1179" t="s">
        <v>18</v>
      </c>
      <c r="G1179" t="s">
        <v>19</v>
      </c>
      <c r="H1179">
        <v>2</v>
      </c>
      <c r="I1179">
        <v>1</v>
      </c>
      <c r="J1179">
        <v>1</v>
      </c>
      <c r="K1179">
        <v>0</v>
      </c>
      <c r="L1179">
        <v>1</v>
      </c>
      <c r="M1179">
        <v>0</v>
      </c>
      <c r="N1179">
        <v>1</v>
      </c>
      <c r="O1179">
        <v>1</v>
      </c>
      <c r="P1179">
        <v>0</v>
      </c>
    </row>
    <row r="1180" spans="1:16" x14ac:dyDescent="0.25">
      <c r="A1180" t="str">
        <f>"1176"</f>
        <v>1176</v>
      </c>
      <c r="B1180" t="str">
        <f t="shared" si="65"/>
        <v>102</v>
      </c>
      <c r="C1180" t="str">
        <f t="shared" ref="C1180:C1204" si="66">"48"</f>
        <v>48</v>
      </c>
      <c r="D1180" t="str">
        <f>"23"</f>
        <v>23</v>
      </c>
      <c r="E1180" t="str">
        <f>"102-48-23"</f>
        <v>102-48-23</v>
      </c>
      <c r="F1180" t="s">
        <v>18</v>
      </c>
      <c r="G1180" t="s">
        <v>19</v>
      </c>
      <c r="H1180">
        <v>2</v>
      </c>
      <c r="I1180">
        <v>0</v>
      </c>
      <c r="J1180">
        <v>0</v>
      </c>
      <c r="K1180">
        <v>0</v>
      </c>
      <c r="L1180">
        <v>1</v>
      </c>
      <c r="M1180">
        <v>0</v>
      </c>
      <c r="N1180">
        <v>1</v>
      </c>
      <c r="O1180">
        <v>0</v>
      </c>
      <c r="P1180">
        <v>1</v>
      </c>
    </row>
    <row r="1181" spans="1:16" x14ac:dyDescent="0.25">
      <c r="A1181" t="str">
        <f>"1177"</f>
        <v>1177</v>
      </c>
      <c r="B1181" t="str">
        <f t="shared" si="65"/>
        <v>102</v>
      </c>
      <c r="C1181" t="str">
        <f t="shared" si="66"/>
        <v>48</v>
      </c>
      <c r="D1181" t="str">
        <f>"11"</f>
        <v>11</v>
      </c>
      <c r="E1181" t="str">
        <f>"102-48-11"</f>
        <v>102-48-11</v>
      </c>
      <c r="F1181" t="s">
        <v>18</v>
      </c>
      <c r="G1181" t="s">
        <v>19</v>
      </c>
      <c r="H1181">
        <v>2</v>
      </c>
      <c r="I1181">
        <v>0</v>
      </c>
      <c r="J1181">
        <v>1</v>
      </c>
      <c r="K1181">
        <v>0</v>
      </c>
      <c r="L1181">
        <v>1</v>
      </c>
      <c r="M1181">
        <v>0</v>
      </c>
      <c r="N1181">
        <v>1</v>
      </c>
      <c r="O1181">
        <v>1</v>
      </c>
      <c r="P1181">
        <v>0</v>
      </c>
    </row>
    <row r="1182" spans="1:16" x14ac:dyDescent="0.25">
      <c r="A1182" t="str">
        <f>"1178"</f>
        <v>1178</v>
      </c>
      <c r="B1182" t="str">
        <f t="shared" si="65"/>
        <v>102</v>
      </c>
      <c r="C1182" t="str">
        <f t="shared" si="66"/>
        <v>48</v>
      </c>
      <c r="D1182" t="str">
        <f>"1"</f>
        <v>1</v>
      </c>
      <c r="E1182" t="str">
        <f>"102-48-1"</f>
        <v>102-48-1</v>
      </c>
      <c r="F1182" t="s">
        <v>18</v>
      </c>
      <c r="G1182" t="s">
        <v>19</v>
      </c>
      <c r="H1182">
        <v>2</v>
      </c>
      <c r="I1182">
        <v>1</v>
      </c>
      <c r="J1182">
        <v>1</v>
      </c>
      <c r="K1182">
        <v>1</v>
      </c>
      <c r="L1182">
        <v>0</v>
      </c>
      <c r="M1182">
        <v>1</v>
      </c>
      <c r="N1182">
        <v>0</v>
      </c>
      <c r="O1182">
        <v>1</v>
      </c>
      <c r="P1182">
        <v>0</v>
      </c>
    </row>
    <row r="1183" spans="1:16" x14ac:dyDescent="0.25">
      <c r="A1183" t="str">
        <f>"1179"</f>
        <v>1179</v>
      </c>
      <c r="B1183" t="str">
        <f t="shared" si="65"/>
        <v>102</v>
      </c>
      <c r="C1183" t="str">
        <f t="shared" si="66"/>
        <v>48</v>
      </c>
      <c r="D1183" t="str">
        <f>"25"</f>
        <v>25</v>
      </c>
      <c r="E1183" t="str">
        <f>"102-48-25"</f>
        <v>102-48-25</v>
      </c>
      <c r="F1183" t="s">
        <v>18</v>
      </c>
      <c r="G1183" t="s">
        <v>19</v>
      </c>
      <c r="H1183">
        <v>2</v>
      </c>
      <c r="I1183">
        <v>0</v>
      </c>
      <c r="J1183">
        <v>1</v>
      </c>
      <c r="K1183">
        <v>0</v>
      </c>
      <c r="L1183">
        <v>1</v>
      </c>
      <c r="M1183">
        <v>0</v>
      </c>
      <c r="N1183">
        <v>1</v>
      </c>
      <c r="O1183">
        <v>1</v>
      </c>
      <c r="P1183">
        <v>0</v>
      </c>
    </row>
    <row r="1184" spans="1:16" x14ac:dyDescent="0.25">
      <c r="A1184" t="str">
        <f>"1180"</f>
        <v>1180</v>
      </c>
      <c r="B1184" t="str">
        <f t="shared" si="65"/>
        <v>102</v>
      </c>
      <c r="C1184" t="str">
        <f t="shared" si="66"/>
        <v>48</v>
      </c>
      <c r="D1184" t="str">
        <f>"21"</f>
        <v>21</v>
      </c>
      <c r="E1184" t="str">
        <f>"102-48-21"</f>
        <v>102-48-21</v>
      </c>
      <c r="F1184" t="s">
        <v>18</v>
      </c>
      <c r="G1184" t="s">
        <v>19</v>
      </c>
      <c r="H1184">
        <v>2</v>
      </c>
      <c r="I1184">
        <v>1</v>
      </c>
      <c r="J1184">
        <v>1</v>
      </c>
      <c r="K1184">
        <v>1</v>
      </c>
      <c r="L1184">
        <v>0</v>
      </c>
      <c r="M1184">
        <v>0</v>
      </c>
      <c r="N1184">
        <v>1</v>
      </c>
      <c r="O1184">
        <v>0</v>
      </c>
      <c r="P1184">
        <v>1</v>
      </c>
    </row>
    <row r="1185" spans="1:16" x14ac:dyDescent="0.25">
      <c r="A1185" t="str">
        <f>"1181"</f>
        <v>1181</v>
      </c>
      <c r="B1185" t="str">
        <f t="shared" si="65"/>
        <v>102</v>
      </c>
      <c r="C1185" t="str">
        <f t="shared" si="66"/>
        <v>48</v>
      </c>
      <c r="D1185" t="str">
        <f>"12"</f>
        <v>12</v>
      </c>
      <c r="E1185" t="str">
        <f>"102-48-12"</f>
        <v>102-48-12</v>
      </c>
      <c r="F1185" t="s">
        <v>18</v>
      </c>
      <c r="G1185" t="s">
        <v>19</v>
      </c>
      <c r="H1185">
        <v>2</v>
      </c>
      <c r="I1185">
        <v>1</v>
      </c>
      <c r="J1185">
        <v>0</v>
      </c>
      <c r="K1185">
        <v>1</v>
      </c>
      <c r="L1185">
        <v>0</v>
      </c>
      <c r="M1185">
        <v>0</v>
      </c>
      <c r="N1185">
        <v>1</v>
      </c>
      <c r="O1185">
        <v>0</v>
      </c>
      <c r="P1185">
        <v>1</v>
      </c>
    </row>
    <row r="1186" spans="1:16" x14ac:dyDescent="0.25">
      <c r="A1186" t="str">
        <f>"1182"</f>
        <v>1182</v>
      </c>
      <c r="B1186" t="str">
        <f t="shared" si="65"/>
        <v>102</v>
      </c>
      <c r="C1186" t="str">
        <f t="shared" si="66"/>
        <v>48</v>
      </c>
      <c r="D1186" t="str">
        <f>"3"</f>
        <v>3</v>
      </c>
      <c r="E1186" t="str">
        <f>"102-48-3"</f>
        <v>102-48-3</v>
      </c>
      <c r="F1186" t="s">
        <v>18</v>
      </c>
      <c r="G1186" t="s">
        <v>19</v>
      </c>
      <c r="H1186">
        <v>2</v>
      </c>
      <c r="I1186">
        <v>0</v>
      </c>
      <c r="J1186">
        <v>0</v>
      </c>
      <c r="K1186">
        <v>0</v>
      </c>
      <c r="L1186">
        <v>1</v>
      </c>
      <c r="M1186">
        <v>0</v>
      </c>
      <c r="N1186">
        <v>1</v>
      </c>
      <c r="O1186">
        <v>1</v>
      </c>
      <c r="P1186">
        <v>0</v>
      </c>
    </row>
    <row r="1187" spans="1:16" x14ac:dyDescent="0.25">
      <c r="A1187" t="str">
        <f>"1183"</f>
        <v>1183</v>
      </c>
      <c r="B1187" t="str">
        <f t="shared" si="65"/>
        <v>102</v>
      </c>
      <c r="C1187" t="str">
        <f t="shared" si="66"/>
        <v>48</v>
      </c>
      <c r="D1187" t="str">
        <f>"24"</f>
        <v>24</v>
      </c>
      <c r="E1187" t="str">
        <f>"102-48-24"</f>
        <v>102-48-24</v>
      </c>
      <c r="F1187" t="s">
        <v>18</v>
      </c>
      <c r="G1187" t="s">
        <v>19</v>
      </c>
      <c r="H1187">
        <v>2</v>
      </c>
      <c r="I1187">
        <v>0</v>
      </c>
      <c r="J1187">
        <v>1</v>
      </c>
      <c r="K1187">
        <v>0</v>
      </c>
      <c r="L1187">
        <v>1</v>
      </c>
      <c r="M1187">
        <v>0</v>
      </c>
      <c r="N1187">
        <v>1</v>
      </c>
      <c r="O1187">
        <v>1</v>
      </c>
      <c r="P1187">
        <v>0</v>
      </c>
    </row>
    <row r="1188" spans="1:16" x14ac:dyDescent="0.25">
      <c r="A1188" t="str">
        <f>"1184"</f>
        <v>1184</v>
      </c>
      <c r="B1188" t="str">
        <f t="shared" si="65"/>
        <v>102</v>
      </c>
      <c r="C1188" t="str">
        <f t="shared" si="66"/>
        <v>48</v>
      </c>
      <c r="D1188" t="str">
        <f>"13"</f>
        <v>13</v>
      </c>
      <c r="E1188" t="str">
        <f>"102-48-13"</f>
        <v>102-48-13</v>
      </c>
      <c r="F1188" t="s">
        <v>18</v>
      </c>
      <c r="G1188" t="s">
        <v>19</v>
      </c>
      <c r="H1188">
        <v>2</v>
      </c>
      <c r="I1188">
        <v>1</v>
      </c>
      <c r="J1188">
        <v>1</v>
      </c>
      <c r="K1188">
        <v>1</v>
      </c>
      <c r="L1188">
        <v>0</v>
      </c>
      <c r="M1188">
        <v>0</v>
      </c>
      <c r="N1188">
        <v>1</v>
      </c>
      <c r="O1188">
        <v>0</v>
      </c>
      <c r="P1188">
        <v>1</v>
      </c>
    </row>
    <row r="1189" spans="1:16" x14ac:dyDescent="0.25">
      <c r="A1189" t="str">
        <f>"1185"</f>
        <v>1185</v>
      </c>
      <c r="B1189" t="str">
        <f t="shared" si="65"/>
        <v>102</v>
      </c>
      <c r="C1189" t="str">
        <f t="shared" si="66"/>
        <v>48</v>
      </c>
      <c r="D1189" t="str">
        <f>"4"</f>
        <v>4</v>
      </c>
      <c r="E1189" t="str">
        <f>"102-48-4"</f>
        <v>102-48-4</v>
      </c>
      <c r="F1189" t="s">
        <v>18</v>
      </c>
      <c r="G1189" t="s">
        <v>20</v>
      </c>
      <c r="H1189">
        <v>1</v>
      </c>
      <c r="K1189">
        <v>0</v>
      </c>
      <c r="L1189">
        <v>1</v>
      </c>
      <c r="M1189">
        <v>0</v>
      </c>
      <c r="N1189">
        <v>1</v>
      </c>
    </row>
    <row r="1190" spans="1:16" x14ac:dyDescent="0.25">
      <c r="A1190" t="str">
        <f>"1186"</f>
        <v>1186</v>
      </c>
      <c r="B1190" t="str">
        <f t="shared" si="65"/>
        <v>102</v>
      </c>
      <c r="C1190" t="str">
        <f t="shared" si="66"/>
        <v>48</v>
      </c>
      <c r="D1190" t="str">
        <f>"22"</f>
        <v>22</v>
      </c>
      <c r="E1190" t="str">
        <f>"102-48-22"</f>
        <v>102-48-22</v>
      </c>
      <c r="F1190" t="s">
        <v>18</v>
      </c>
      <c r="G1190" t="s">
        <v>19</v>
      </c>
      <c r="H1190">
        <v>2</v>
      </c>
      <c r="I1190">
        <v>0</v>
      </c>
      <c r="J1190">
        <v>1</v>
      </c>
      <c r="K1190">
        <v>0</v>
      </c>
      <c r="L1190">
        <v>1</v>
      </c>
      <c r="M1190">
        <v>0</v>
      </c>
      <c r="N1190">
        <v>1</v>
      </c>
      <c r="O1190">
        <v>0</v>
      </c>
      <c r="P1190">
        <v>1</v>
      </c>
    </row>
    <row r="1191" spans="1:16" x14ac:dyDescent="0.25">
      <c r="A1191" t="str">
        <f>"1187"</f>
        <v>1187</v>
      </c>
      <c r="B1191" t="str">
        <f t="shared" si="65"/>
        <v>102</v>
      </c>
      <c r="C1191" t="str">
        <f t="shared" si="66"/>
        <v>48</v>
      </c>
      <c r="D1191" t="str">
        <f>"14"</f>
        <v>14</v>
      </c>
      <c r="E1191" t="str">
        <f>"102-48-14"</f>
        <v>102-48-14</v>
      </c>
      <c r="F1191" t="s">
        <v>18</v>
      </c>
      <c r="G1191" t="s">
        <v>19</v>
      </c>
      <c r="H1191">
        <v>2</v>
      </c>
      <c r="I1191">
        <v>1</v>
      </c>
      <c r="J1191">
        <v>1</v>
      </c>
      <c r="K1191">
        <v>1</v>
      </c>
      <c r="L1191">
        <v>0</v>
      </c>
      <c r="M1191">
        <v>1</v>
      </c>
      <c r="N1191">
        <v>0</v>
      </c>
      <c r="O1191">
        <v>1</v>
      </c>
      <c r="P1191">
        <v>0</v>
      </c>
    </row>
    <row r="1192" spans="1:16" x14ac:dyDescent="0.25">
      <c r="A1192" t="str">
        <f>"1188"</f>
        <v>1188</v>
      </c>
      <c r="B1192" t="str">
        <f t="shared" si="65"/>
        <v>102</v>
      </c>
      <c r="C1192" t="str">
        <f t="shared" si="66"/>
        <v>48</v>
      </c>
      <c r="D1192" t="str">
        <f>"9"</f>
        <v>9</v>
      </c>
      <c r="E1192" t="str">
        <f>"102-48-9"</f>
        <v>102-48-9</v>
      </c>
      <c r="F1192" t="s">
        <v>18</v>
      </c>
      <c r="G1192" t="s">
        <v>19</v>
      </c>
      <c r="H1192">
        <v>2</v>
      </c>
      <c r="I1192">
        <v>0</v>
      </c>
      <c r="J1192">
        <v>1</v>
      </c>
      <c r="K1192">
        <v>0</v>
      </c>
      <c r="L1192">
        <v>1</v>
      </c>
      <c r="M1192">
        <v>0</v>
      </c>
      <c r="N1192">
        <v>1</v>
      </c>
      <c r="O1192">
        <v>1</v>
      </c>
      <c r="P1192">
        <v>0</v>
      </c>
    </row>
    <row r="1193" spans="1:16" x14ac:dyDescent="0.25">
      <c r="A1193" t="str">
        <f>"1189"</f>
        <v>1189</v>
      </c>
      <c r="B1193" t="str">
        <f t="shared" si="65"/>
        <v>102</v>
      </c>
      <c r="C1193" t="str">
        <f t="shared" si="66"/>
        <v>48</v>
      </c>
      <c r="D1193" t="str">
        <f>"15"</f>
        <v>15</v>
      </c>
      <c r="E1193" t="str">
        <f>"102-48-15"</f>
        <v>102-48-15</v>
      </c>
      <c r="F1193" t="s">
        <v>18</v>
      </c>
      <c r="G1193" t="s">
        <v>19</v>
      </c>
      <c r="H1193">
        <v>2</v>
      </c>
      <c r="I1193">
        <v>0</v>
      </c>
      <c r="J1193">
        <v>1</v>
      </c>
      <c r="K1193">
        <v>1</v>
      </c>
      <c r="L1193">
        <v>0</v>
      </c>
      <c r="M1193">
        <v>1</v>
      </c>
      <c r="N1193">
        <v>0</v>
      </c>
      <c r="O1193">
        <v>1</v>
      </c>
      <c r="P1193">
        <v>0</v>
      </c>
    </row>
    <row r="1194" spans="1:16" x14ac:dyDescent="0.25">
      <c r="A1194" t="str">
        <f>"1190"</f>
        <v>1190</v>
      </c>
      <c r="B1194" t="str">
        <f t="shared" si="65"/>
        <v>102</v>
      </c>
      <c r="C1194" t="str">
        <f t="shared" si="66"/>
        <v>48</v>
      </c>
      <c r="D1194" t="str">
        <f>"5"</f>
        <v>5</v>
      </c>
      <c r="E1194" t="str">
        <f>"102-48-5"</f>
        <v>102-48-5</v>
      </c>
      <c r="F1194" t="s">
        <v>18</v>
      </c>
      <c r="G1194" t="s">
        <v>19</v>
      </c>
      <c r="H1194">
        <v>2</v>
      </c>
      <c r="I1194">
        <v>0</v>
      </c>
      <c r="J1194">
        <v>0</v>
      </c>
      <c r="K1194">
        <v>0</v>
      </c>
      <c r="L1194">
        <v>1</v>
      </c>
      <c r="M1194">
        <v>0</v>
      </c>
      <c r="N1194">
        <v>1</v>
      </c>
      <c r="O1194">
        <v>1</v>
      </c>
      <c r="P1194">
        <v>0</v>
      </c>
    </row>
    <row r="1195" spans="1:16" x14ac:dyDescent="0.25">
      <c r="A1195" t="str">
        <f>"1191"</f>
        <v>1191</v>
      </c>
      <c r="B1195" t="str">
        <f t="shared" si="65"/>
        <v>102</v>
      </c>
      <c r="C1195" t="str">
        <f t="shared" si="66"/>
        <v>48</v>
      </c>
      <c r="D1195" t="str">
        <f>"16"</f>
        <v>16</v>
      </c>
      <c r="E1195" t="str">
        <f>"102-48-16"</f>
        <v>102-48-16</v>
      </c>
      <c r="F1195" t="s">
        <v>18</v>
      </c>
      <c r="G1195" t="s">
        <v>19</v>
      </c>
      <c r="H1195">
        <v>2</v>
      </c>
      <c r="I1195">
        <v>0</v>
      </c>
      <c r="J1195">
        <v>0</v>
      </c>
      <c r="K1195">
        <v>0</v>
      </c>
      <c r="L1195">
        <v>1</v>
      </c>
      <c r="M1195">
        <v>0</v>
      </c>
      <c r="N1195">
        <v>1</v>
      </c>
      <c r="O1195">
        <v>1</v>
      </c>
      <c r="P1195">
        <v>0</v>
      </c>
    </row>
    <row r="1196" spans="1:16" x14ac:dyDescent="0.25">
      <c r="A1196" t="str">
        <f>"1192"</f>
        <v>1192</v>
      </c>
      <c r="B1196" t="str">
        <f t="shared" si="65"/>
        <v>102</v>
      </c>
      <c r="C1196" t="str">
        <f t="shared" si="66"/>
        <v>48</v>
      </c>
      <c r="D1196" t="str">
        <f>"2"</f>
        <v>2</v>
      </c>
      <c r="E1196" t="str">
        <f>"102-48-2"</f>
        <v>102-48-2</v>
      </c>
      <c r="F1196" t="s">
        <v>18</v>
      </c>
      <c r="G1196" t="s">
        <v>19</v>
      </c>
      <c r="H1196">
        <v>2</v>
      </c>
      <c r="I1196">
        <v>1</v>
      </c>
      <c r="J1196">
        <v>1</v>
      </c>
      <c r="K1196">
        <v>0</v>
      </c>
      <c r="L1196">
        <v>1</v>
      </c>
      <c r="M1196">
        <v>0</v>
      </c>
      <c r="N1196">
        <v>1</v>
      </c>
      <c r="O1196">
        <v>0</v>
      </c>
      <c r="P1196">
        <v>1</v>
      </c>
    </row>
    <row r="1197" spans="1:16" x14ac:dyDescent="0.25">
      <c r="A1197" t="str">
        <f>"1193"</f>
        <v>1193</v>
      </c>
      <c r="B1197" t="str">
        <f t="shared" si="65"/>
        <v>102</v>
      </c>
      <c r="C1197" t="str">
        <f t="shared" si="66"/>
        <v>48</v>
      </c>
      <c r="D1197" t="str">
        <f>"17"</f>
        <v>17</v>
      </c>
      <c r="E1197" t="str">
        <f>"102-48-17"</f>
        <v>102-48-17</v>
      </c>
      <c r="F1197" t="s">
        <v>18</v>
      </c>
      <c r="G1197" t="s">
        <v>19</v>
      </c>
      <c r="H1197">
        <v>2</v>
      </c>
      <c r="I1197">
        <v>0</v>
      </c>
      <c r="J1197">
        <v>1</v>
      </c>
      <c r="K1197">
        <v>1</v>
      </c>
      <c r="L1197">
        <v>0</v>
      </c>
      <c r="M1197">
        <v>0</v>
      </c>
      <c r="N1197">
        <v>1</v>
      </c>
      <c r="O1197">
        <v>0</v>
      </c>
      <c r="P1197">
        <v>1</v>
      </c>
    </row>
    <row r="1198" spans="1:16" x14ac:dyDescent="0.25">
      <c r="A1198" t="str">
        <f>"1194"</f>
        <v>1194</v>
      </c>
      <c r="B1198" t="str">
        <f t="shared" si="65"/>
        <v>102</v>
      </c>
      <c r="C1198" t="str">
        <f t="shared" si="66"/>
        <v>48</v>
      </c>
      <c r="D1198" t="str">
        <f>"10"</f>
        <v>10</v>
      </c>
      <c r="E1198" t="str">
        <f>"102-48-10"</f>
        <v>102-48-10</v>
      </c>
      <c r="F1198" t="s">
        <v>18</v>
      </c>
      <c r="G1198" t="s">
        <v>19</v>
      </c>
      <c r="H1198">
        <v>2</v>
      </c>
      <c r="I1198">
        <v>0</v>
      </c>
      <c r="J1198">
        <v>1</v>
      </c>
      <c r="K1198">
        <v>0</v>
      </c>
      <c r="L1198">
        <v>1</v>
      </c>
      <c r="M1198">
        <v>0</v>
      </c>
      <c r="N1198">
        <v>1</v>
      </c>
      <c r="O1198">
        <v>1</v>
      </c>
      <c r="P1198">
        <v>0</v>
      </c>
    </row>
    <row r="1199" spans="1:16" x14ac:dyDescent="0.25">
      <c r="A1199" t="str">
        <f>"1195"</f>
        <v>1195</v>
      </c>
      <c r="B1199" t="str">
        <f t="shared" si="65"/>
        <v>102</v>
      </c>
      <c r="C1199" t="str">
        <f t="shared" si="66"/>
        <v>48</v>
      </c>
      <c r="D1199" t="str">
        <f>"18"</f>
        <v>18</v>
      </c>
      <c r="E1199" t="str">
        <f>"102-48-18"</f>
        <v>102-48-18</v>
      </c>
      <c r="F1199" t="s">
        <v>18</v>
      </c>
      <c r="G1199" t="s">
        <v>19</v>
      </c>
      <c r="H1199">
        <v>2</v>
      </c>
      <c r="I1199">
        <v>1</v>
      </c>
      <c r="J1199">
        <v>1</v>
      </c>
      <c r="K1199">
        <v>0</v>
      </c>
      <c r="L1199">
        <v>1</v>
      </c>
      <c r="M1199">
        <v>0</v>
      </c>
      <c r="N1199">
        <v>1</v>
      </c>
      <c r="O1199">
        <v>0</v>
      </c>
      <c r="P1199">
        <v>1</v>
      </c>
    </row>
    <row r="1200" spans="1:16" x14ac:dyDescent="0.25">
      <c r="A1200" t="str">
        <f>"1196"</f>
        <v>1196</v>
      </c>
      <c r="B1200" t="str">
        <f t="shared" si="65"/>
        <v>102</v>
      </c>
      <c r="C1200" t="str">
        <f t="shared" si="66"/>
        <v>48</v>
      </c>
      <c r="D1200" t="str">
        <f>"6"</f>
        <v>6</v>
      </c>
      <c r="E1200" t="str">
        <f>"102-48-6"</f>
        <v>102-48-6</v>
      </c>
      <c r="F1200" t="s">
        <v>18</v>
      </c>
      <c r="G1200" t="s">
        <v>19</v>
      </c>
      <c r="H1200">
        <v>2</v>
      </c>
      <c r="I1200">
        <v>0</v>
      </c>
      <c r="J1200">
        <v>0</v>
      </c>
      <c r="K1200">
        <v>0</v>
      </c>
      <c r="L1200">
        <v>1</v>
      </c>
      <c r="M1200">
        <v>0</v>
      </c>
      <c r="N1200">
        <v>1</v>
      </c>
      <c r="O1200">
        <v>1</v>
      </c>
      <c r="P1200">
        <v>0</v>
      </c>
    </row>
    <row r="1201" spans="1:16" x14ac:dyDescent="0.25">
      <c r="A1201" t="str">
        <f>"1197"</f>
        <v>1197</v>
      </c>
      <c r="B1201" t="str">
        <f t="shared" si="65"/>
        <v>102</v>
      </c>
      <c r="C1201" t="str">
        <f t="shared" si="66"/>
        <v>48</v>
      </c>
      <c r="D1201" t="str">
        <f>"19"</f>
        <v>19</v>
      </c>
      <c r="E1201" t="str">
        <f>"102-48-19"</f>
        <v>102-48-19</v>
      </c>
      <c r="F1201" t="s">
        <v>18</v>
      </c>
      <c r="G1201" t="s">
        <v>19</v>
      </c>
      <c r="H1201">
        <v>2</v>
      </c>
      <c r="I1201">
        <v>1</v>
      </c>
      <c r="J1201">
        <v>1</v>
      </c>
      <c r="K1201">
        <v>0</v>
      </c>
      <c r="L1201">
        <v>1</v>
      </c>
      <c r="M1201">
        <v>0</v>
      </c>
      <c r="N1201">
        <v>1</v>
      </c>
      <c r="O1201">
        <v>0</v>
      </c>
      <c r="P1201">
        <v>1</v>
      </c>
    </row>
    <row r="1202" spans="1:16" x14ac:dyDescent="0.25">
      <c r="A1202" t="str">
        <f>"1198"</f>
        <v>1198</v>
      </c>
      <c r="B1202" t="str">
        <f t="shared" si="65"/>
        <v>102</v>
      </c>
      <c r="C1202" t="str">
        <f t="shared" si="66"/>
        <v>48</v>
      </c>
      <c r="D1202" t="str">
        <f>"7"</f>
        <v>7</v>
      </c>
      <c r="E1202" t="str">
        <f>"102-48-7"</f>
        <v>102-48-7</v>
      </c>
      <c r="F1202" t="s">
        <v>18</v>
      </c>
      <c r="G1202" t="s">
        <v>19</v>
      </c>
      <c r="H1202">
        <v>2</v>
      </c>
      <c r="I1202">
        <v>0</v>
      </c>
      <c r="J1202">
        <v>0</v>
      </c>
      <c r="K1202">
        <v>0</v>
      </c>
      <c r="L1202">
        <v>1</v>
      </c>
      <c r="M1202">
        <v>0</v>
      </c>
      <c r="N1202">
        <v>1</v>
      </c>
      <c r="O1202">
        <v>0</v>
      </c>
      <c r="P1202">
        <v>1</v>
      </c>
    </row>
    <row r="1203" spans="1:16" x14ac:dyDescent="0.25">
      <c r="A1203" t="str">
        <f>"1199"</f>
        <v>1199</v>
      </c>
      <c r="B1203" t="str">
        <f t="shared" si="65"/>
        <v>102</v>
      </c>
      <c r="C1203" t="str">
        <f t="shared" si="66"/>
        <v>48</v>
      </c>
      <c r="D1203" t="str">
        <f>"20"</f>
        <v>20</v>
      </c>
      <c r="E1203" t="str">
        <f>"102-48-20"</f>
        <v>102-48-20</v>
      </c>
      <c r="F1203" t="s">
        <v>18</v>
      </c>
      <c r="G1203" t="s">
        <v>19</v>
      </c>
      <c r="H1203">
        <v>2</v>
      </c>
      <c r="I1203">
        <v>1</v>
      </c>
      <c r="J1203">
        <v>1</v>
      </c>
      <c r="K1203">
        <v>0</v>
      </c>
      <c r="L1203">
        <v>1</v>
      </c>
      <c r="M1203">
        <v>0</v>
      </c>
      <c r="N1203">
        <v>1</v>
      </c>
      <c r="O1203">
        <v>0</v>
      </c>
      <c r="P1203">
        <v>1</v>
      </c>
    </row>
    <row r="1204" spans="1:16" x14ac:dyDescent="0.25">
      <c r="A1204" t="str">
        <f>"1200"</f>
        <v>1200</v>
      </c>
      <c r="B1204" t="str">
        <f t="shared" si="65"/>
        <v>102</v>
      </c>
      <c r="C1204" t="str">
        <f t="shared" si="66"/>
        <v>48</v>
      </c>
      <c r="D1204" t="str">
        <f>"8"</f>
        <v>8</v>
      </c>
      <c r="E1204" t="str">
        <f>"102-48-8"</f>
        <v>102-48-8</v>
      </c>
      <c r="F1204" t="s">
        <v>18</v>
      </c>
      <c r="G1204" t="s">
        <v>19</v>
      </c>
      <c r="H1204">
        <v>2</v>
      </c>
      <c r="I1204">
        <v>1</v>
      </c>
      <c r="J1204">
        <v>1</v>
      </c>
      <c r="K1204">
        <v>1</v>
      </c>
      <c r="L1204">
        <v>0</v>
      </c>
      <c r="M1204">
        <v>0</v>
      </c>
      <c r="N1204">
        <v>1</v>
      </c>
      <c r="O1204">
        <v>1</v>
      </c>
      <c r="P1204">
        <v>0</v>
      </c>
    </row>
    <row r="1205" spans="1:16" x14ac:dyDescent="0.25">
      <c r="A1205" t="str">
        <f>"1201"</f>
        <v>1201</v>
      </c>
      <c r="B1205" t="str">
        <f t="shared" si="65"/>
        <v>102</v>
      </c>
      <c r="C1205" t="str">
        <f t="shared" ref="C1205:C1229" si="67">"49"</f>
        <v>49</v>
      </c>
      <c r="D1205" t="str">
        <f>"22"</f>
        <v>22</v>
      </c>
      <c r="E1205" t="str">
        <f>"102-49-22"</f>
        <v>102-49-22</v>
      </c>
      <c r="F1205" t="s">
        <v>18</v>
      </c>
      <c r="G1205" t="s">
        <v>20</v>
      </c>
      <c r="H1205">
        <v>1</v>
      </c>
      <c r="K1205">
        <v>1</v>
      </c>
      <c r="L1205">
        <v>0</v>
      </c>
      <c r="M1205">
        <v>1</v>
      </c>
      <c r="N1205">
        <v>0</v>
      </c>
    </row>
    <row r="1206" spans="1:16" x14ac:dyDescent="0.25">
      <c r="A1206" t="str">
        <f>"1202"</f>
        <v>1202</v>
      </c>
      <c r="B1206" t="str">
        <f t="shared" si="65"/>
        <v>102</v>
      </c>
      <c r="C1206" t="str">
        <f t="shared" si="67"/>
        <v>49</v>
      </c>
      <c r="D1206" t="str">
        <f>"11"</f>
        <v>11</v>
      </c>
      <c r="E1206" t="str">
        <f>"102-49-11"</f>
        <v>102-49-11</v>
      </c>
      <c r="F1206" t="s">
        <v>18</v>
      </c>
      <c r="G1206" t="s">
        <v>20</v>
      </c>
      <c r="H1206">
        <v>1</v>
      </c>
      <c r="K1206">
        <v>0</v>
      </c>
      <c r="L1206">
        <v>1</v>
      </c>
      <c r="M1206">
        <v>0</v>
      </c>
      <c r="N1206">
        <v>1</v>
      </c>
    </row>
    <row r="1207" spans="1:16" x14ac:dyDescent="0.25">
      <c r="A1207" t="str">
        <f>"1203"</f>
        <v>1203</v>
      </c>
      <c r="B1207" t="str">
        <f t="shared" si="65"/>
        <v>102</v>
      </c>
      <c r="C1207" t="str">
        <f t="shared" si="67"/>
        <v>49</v>
      </c>
      <c r="D1207" t="str">
        <f>"1"</f>
        <v>1</v>
      </c>
      <c r="E1207" t="str">
        <f>"102-49-1"</f>
        <v>102-49-1</v>
      </c>
      <c r="F1207" t="s">
        <v>18</v>
      </c>
      <c r="G1207" t="s">
        <v>20</v>
      </c>
      <c r="H1207">
        <v>1</v>
      </c>
      <c r="K1207">
        <v>1</v>
      </c>
      <c r="L1207">
        <v>0</v>
      </c>
      <c r="M1207">
        <v>1</v>
      </c>
      <c r="N1207">
        <v>0</v>
      </c>
    </row>
    <row r="1208" spans="1:16" x14ac:dyDescent="0.25">
      <c r="A1208" t="str">
        <f>"1204"</f>
        <v>1204</v>
      </c>
      <c r="B1208" t="str">
        <f t="shared" si="65"/>
        <v>102</v>
      </c>
      <c r="C1208" t="str">
        <f t="shared" si="67"/>
        <v>49</v>
      </c>
      <c r="D1208" t="str">
        <f>"24"</f>
        <v>24</v>
      </c>
      <c r="E1208" t="str">
        <f>"102-49-24"</f>
        <v>102-49-24</v>
      </c>
      <c r="F1208" t="s">
        <v>18</v>
      </c>
      <c r="G1208" t="s">
        <v>20</v>
      </c>
      <c r="H1208">
        <v>1</v>
      </c>
      <c r="K1208">
        <v>1</v>
      </c>
      <c r="L1208">
        <v>0</v>
      </c>
      <c r="M1208">
        <v>1</v>
      </c>
      <c r="N1208">
        <v>0</v>
      </c>
    </row>
    <row r="1209" spans="1:16" x14ac:dyDescent="0.25">
      <c r="A1209" t="str">
        <f>"1205"</f>
        <v>1205</v>
      </c>
      <c r="B1209" t="str">
        <f t="shared" si="65"/>
        <v>102</v>
      </c>
      <c r="C1209" t="str">
        <f t="shared" si="67"/>
        <v>49</v>
      </c>
      <c r="D1209" t="str">
        <f>"23"</f>
        <v>23</v>
      </c>
      <c r="E1209" t="str">
        <f>"102-49-23"</f>
        <v>102-49-23</v>
      </c>
      <c r="F1209" t="s">
        <v>18</v>
      </c>
      <c r="G1209" t="s">
        <v>20</v>
      </c>
      <c r="H1209">
        <v>1</v>
      </c>
      <c r="K1209">
        <v>0</v>
      </c>
      <c r="L1209">
        <v>1</v>
      </c>
      <c r="M1209">
        <v>0</v>
      </c>
      <c r="N1209">
        <v>1</v>
      </c>
    </row>
    <row r="1210" spans="1:16" x14ac:dyDescent="0.25">
      <c r="A1210" t="str">
        <f>"1206"</f>
        <v>1206</v>
      </c>
      <c r="B1210" t="str">
        <f t="shared" si="65"/>
        <v>102</v>
      </c>
      <c r="C1210" t="str">
        <f t="shared" si="67"/>
        <v>49</v>
      </c>
      <c r="D1210" t="str">
        <f>"19"</f>
        <v>19</v>
      </c>
      <c r="E1210" t="str">
        <f>"102-49-19"</f>
        <v>102-49-19</v>
      </c>
      <c r="F1210" t="s">
        <v>18</v>
      </c>
      <c r="G1210" t="s">
        <v>20</v>
      </c>
      <c r="H1210">
        <v>1</v>
      </c>
      <c r="K1210">
        <v>0</v>
      </c>
      <c r="L1210">
        <v>1</v>
      </c>
      <c r="M1210">
        <v>1</v>
      </c>
      <c r="N1210">
        <v>0</v>
      </c>
    </row>
    <row r="1211" spans="1:16" x14ac:dyDescent="0.25">
      <c r="A1211" t="str">
        <f>"1207"</f>
        <v>1207</v>
      </c>
      <c r="B1211" t="str">
        <f t="shared" si="65"/>
        <v>102</v>
      </c>
      <c r="C1211" t="str">
        <f t="shared" si="67"/>
        <v>49</v>
      </c>
      <c r="D1211" t="str">
        <f>"12"</f>
        <v>12</v>
      </c>
      <c r="E1211" t="str">
        <f>"102-49-12"</f>
        <v>102-49-12</v>
      </c>
      <c r="F1211" t="s">
        <v>18</v>
      </c>
      <c r="G1211" t="s">
        <v>20</v>
      </c>
      <c r="H1211">
        <v>1</v>
      </c>
      <c r="K1211">
        <v>1</v>
      </c>
      <c r="L1211">
        <v>0</v>
      </c>
      <c r="M1211">
        <v>1</v>
      </c>
      <c r="N1211">
        <v>0</v>
      </c>
    </row>
    <row r="1212" spans="1:16" x14ac:dyDescent="0.25">
      <c r="A1212" t="str">
        <f>"1208"</f>
        <v>1208</v>
      </c>
      <c r="B1212" t="str">
        <f t="shared" si="65"/>
        <v>102</v>
      </c>
      <c r="C1212" t="str">
        <f t="shared" si="67"/>
        <v>49</v>
      </c>
      <c r="D1212" t="str">
        <f>"5"</f>
        <v>5</v>
      </c>
      <c r="E1212" t="str">
        <f>"102-49-5"</f>
        <v>102-49-5</v>
      </c>
      <c r="F1212" t="s">
        <v>18</v>
      </c>
      <c r="G1212" t="s">
        <v>20</v>
      </c>
      <c r="H1212">
        <v>1</v>
      </c>
      <c r="K1212">
        <v>1</v>
      </c>
      <c r="L1212">
        <v>0</v>
      </c>
      <c r="M1212">
        <v>1</v>
      </c>
      <c r="N1212">
        <v>0</v>
      </c>
    </row>
    <row r="1213" spans="1:16" x14ac:dyDescent="0.25">
      <c r="A1213" t="str">
        <f>"1209"</f>
        <v>1209</v>
      </c>
      <c r="B1213" t="str">
        <f t="shared" si="65"/>
        <v>102</v>
      </c>
      <c r="C1213" t="str">
        <f t="shared" si="67"/>
        <v>49</v>
      </c>
      <c r="D1213" t="str">
        <f>"13"</f>
        <v>13</v>
      </c>
      <c r="E1213" t="str">
        <f>"102-49-13"</f>
        <v>102-49-13</v>
      </c>
      <c r="F1213" t="s">
        <v>18</v>
      </c>
      <c r="G1213" t="s">
        <v>20</v>
      </c>
      <c r="H1213">
        <v>1</v>
      </c>
      <c r="K1213">
        <v>0</v>
      </c>
      <c r="L1213">
        <v>1</v>
      </c>
      <c r="M1213">
        <v>0</v>
      </c>
      <c r="N1213">
        <v>1</v>
      </c>
    </row>
    <row r="1214" spans="1:16" x14ac:dyDescent="0.25">
      <c r="A1214" t="str">
        <f>"1210"</f>
        <v>1210</v>
      </c>
      <c r="B1214" t="str">
        <f t="shared" si="65"/>
        <v>102</v>
      </c>
      <c r="C1214" t="str">
        <f t="shared" si="67"/>
        <v>49</v>
      </c>
      <c r="D1214" t="str">
        <f>"9"</f>
        <v>9</v>
      </c>
      <c r="E1214" t="str">
        <f>"102-49-9"</f>
        <v>102-49-9</v>
      </c>
      <c r="F1214" t="s">
        <v>18</v>
      </c>
      <c r="G1214" t="s">
        <v>20</v>
      </c>
      <c r="H1214">
        <v>1</v>
      </c>
      <c r="K1214">
        <v>0</v>
      </c>
      <c r="L1214">
        <v>1</v>
      </c>
      <c r="M1214">
        <v>0</v>
      </c>
      <c r="N1214">
        <v>1</v>
      </c>
    </row>
    <row r="1215" spans="1:16" x14ac:dyDescent="0.25">
      <c r="A1215" t="str">
        <f>"1211"</f>
        <v>1211</v>
      </c>
      <c r="B1215" t="str">
        <f t="shared" si="65"/>
        <v>102</v>
      </c>
      <c r="C1215" t="str">
        <f t="shared" si="67"/>
        <v>49</v>
      </c>
      <c r="D1215" t="str">
        <f>"14"</f>
        <v>14</v>
      </c>
      <c r="E1215" t="str">
        <f>"102-49-14"</f>
        <v>102-49-14</v>
      </c>
      <c r="F1215" t="s">
        <v>18</v>
      </c>
      <c r="G1215" t="s">
        <v>19</v>
      </c>
      <c r="H1215">
        <v>2</v>
      </c>
      <c r="I1215">
        <v>0</v>
      </c>
      <c r="J1215">
        <v>0</v>
      </c>
      <c r="K1215">
        <v>0</v>
      </c>
      <c r="L1215">
        <v>1</v>
      </c>
      <c r="M1215">
        <v>0</v>
      </c>
      <c r="N1215">
        <v>1</v>
      </c>
      <c r="O1215">
        <v>1</v>
      </c>
      <c r="P1215">
        <v>0</v>
      </c>
    </row>
    <row r="1216" spans="1:16" x14ac:dyDescent="0.25">
      <c r="A1216" t="str">
        <f>"1212"</f>
        <v>1212</v>
      </c>
      <c r="B1216" t="str">
        <f t="shared" si="65"/>
        <v>102</v>
      </c>
      <c r="C1216" t="str">
        <f t="shared" si="67"/>
        <v>49</v>
      </c>
      <c r="D1216" t="str">
        <f>"10"</f>
        <v>10</v>
      </c>
      <c r="E1216" t="str">
        <f>"102-49-10"</f>
        <v>102-49-10</v>
      </c>
      <c r="F1216" t="s">
        <v>18</v>
      </c>
      <c r="G1216" t="s">
        <v>20</v>
      </c>
      <c r="H1216">
        <v>1</v>
      </c>
      <c r="K1216">
        <v>1</v>
      </c>
      <c r="L1216">
        <v>0</v>
      </c>
      <c r="M1216">
        <v>1</v>
      </c>
      <c r="N1216">
        <v>0</v>
      </c>
    </row>
    <row r="1217" spans="1:16" x14ac:dyDescent="0.25">
      <c r="A1217" t="str">
        <f>"1213"</f>
        <v>1213</v>
      </c>
      <c r="B1217" t="str">
        <f t="shared" si="65"/>
        <v>102</v>
      </c>
      <c r="C1217" t="str">
        <f t="shared" si="67"/>
        <v>49</v>
      </c>
      <c r="D1217" t="str">
        <f>"15"</f>
        <v>15</v>
      </c>
      <c r="E1217" t="str">
        <f>"102-49-15"</f>
        <v>102-49-15</v>
      </c>
      <c r="F1217" t="s">
        <v>18</v>
      </c>
      <c r="G1217" t="s">
        <v>19</v>
      </c>
      <c r="H1217">
        <v>2</v>
      </c>
      <c r="I1217">
        <v>1</v>
      </c>
      <c r="J1217">
        <v>1</v>
      </c>
      <c r="K1217">
        <v>0</v>
      </c>
      <c r="L1217">
        <v>1</v>
      </c>
      <c r="M1217">
        <v>0</v>
      </c>
      <c r="N1217">
        <v>1</v>
      </c>
      <c r="O1217">
        <v>0</v>
      </c>
      <c r="P1217">
        <v>1</v>
      </c>
    </row>
    <row r="1218" spans="1:16" x14ac:dyDescent="0.25">
      <c r="A1218" t="str">
        <f>"1214"</f>
        <v>1214</v>
      </c>
      <c r="B1218" t="str">
        <f t="shared" si="65"/>
        <v>102</v>
      </c>
      <c r="C1218" t="str">
        <f t="shared" si="67"/>
        <v>49</v>
      </c>
      <c r="D1218" t="str">
        <f>"7"</f>
        <v>7</v>
      </c>
      <c r="E1218" t="str">
        <f>"102-49-7"</f>
        <v>102-49-7</v>
      </c>
      <c r="F1218" t="s">
        <v>18</v>
      </c>
      <c r="G1218" t="s">
        <v>20</v>
      </c>
      <c r="H1218">
        <v>1</v>
      </c>
      <c r="K1218">
        <v>0</v>
      </c>
      <c r="L1218">
        <v>1</v>
      </c>
      <c r="M1218">
        <v>0</v>
      </c>
      <c r="N1218">
        <v>1</v>
      </c>
    </row>
    <row r="1219" spans="1:16" x14ac:dyDescent="0.25">
      <c r="A1219" t="str">
        <f>"1215"</f>
        <v>1215</v>
      </c>
      <c r="B1219" t="str">
        <f t="shared" si="65"/>
        <v>102</v>
      </c>
      <c r="C1219" t="str">
        <f t="shared" si="67"/>
        <v>49</v>
      </c>
      <c r="D1219" t="str">
        <f>"16"</f>
        <v>16</v>
      </c>
      <c r="E1219" t="str">
        <f>"102-49-16"</f>
        <v>102-49-16</v>
      </c>
      <c r="F1219" t="s">
        <v>18</v>
      </c>
      <c r="G1219" t="s">
        <v>20</v>
      </c>
      <c r="H1219">
        <v>1</v>
      </c>
      <c r="K1219">
        <v>0</v>
      </c>
      <c r="L1219">
        <v>1</v>
      </c>
      <c r="M1219">
        <v>0</v>
      </c>
      <c r="N1219">
        <v>1</v>
      </c>
    </row>
    <row r="1220" spans="1:16" x14ac:dyDescent="0.25">
      <c r="A1220" t="str">
        <f>"1216"</f>
        <v>1216</v>
      </c>
      <c r="B1220" t="str">
        <f t="shared" si="65"/>
        <v>102</v>
      </c>
      <c r="C1220" t="str">
        <f t="shared" si="67"/>
        <v>49</v>
      </c>
      <c r="D1220" t="str">
        <f>"8"</f>
        <v>8</v>
      </c>
      <c r="E1220" t="str">
        <f>"102-49-8"</f>
        <v>102-49-8</v>
      </c>
      <c r="F1220" t="s">
        <v>18</v>
      </c>
      <c r="G1220" t="s">
        <v>20</v>
      </c>
      <c r="H1220">
        <v>1</v>
      </c>
      <c r="K1220">
        <v>0</v>
      </c>
      <c r="L1220">
        <v>1</v>
      </c>
      <c r="M1220">
        <v>0</v>
      </c>
      <c r="N1220">
        <v>1</v>
      </c>
    </row>
    <row r="1221" spans="1:16" x14ac:dyDescent="0.25">
      <c r="A1221" t="str">
        <f>"1217"</f>
        <v>1217</v>
      </c>
      <c r="B1221" t="str">
        <f t="shared" ref="B1221:B1284" si="68">"102"</f>
        <v>102</v>
      </c>
      <c r="C1221" t="str">
        <f t="shared" si="67"/>
        <v>49</v>
      </c>
      <c r="D1221" t="str">
        <f>"17"</f>
        <v>17</v>
      </c>
      <c r="E1221" t="str">
        <f>"102-49-17"</f>
        <v>102-49-17</v>
      </c>
      <c r="F1221" t="s">
        <v>18</v>
      </c>
      <c r="G1221" t="s">
        <v>19</v>
      </c>
      <c r="H1221">
        <v>2</v>
      </c>
      <c r="I1221">
        <v>1</v>
      </c>
      <c r="J1221">
        <v>1</v>
      </c>
      <c r="K1221">
        <v>0</v>
      </c>
      <c r="L1221">
        <v>1</v>
      </c>
      <c r="M1221">
        <v>0</v>
      </c>
      <c r="N1221">
        <v>1</v>
      </c>
      <c r="O1221">
        <v>0</v>
      </c>
      <c r="P1221">
        <v>1</v>
      </c>
    </row>
    <row r="1222" spans="1:16" x14ac:dyDescent="0.25">
      <c r="A1222" t="str">
        <f>"1218"</f>
        <v>1218</v>
      </c>
      <c r="B1222" t="str">
        <f t="shared" si="68"/>
        <v>102</v>
      </c>
      <c r="C1222" t="str">
        <f t="shared" si="67"/>
        <v>49</v>
      </c>
      <c r="D1222" t="str">
        <f>"2"</f>
        <v>2</v>
      </c>
      <c r="E1222" t="str">
        <f>"102-49-2"</f>
        <v>102-49-2</v>
      </c>
      <c r="F1222" t="s">
        <v>18</v>
      </c>
      <c r="G1222" t="s">
        <v>20</v>
      </c>
      <c r="H1222">
        <v>1</v>
      </c>
      <c r="K1222">
        <v>0</v>
      </c>
      <c r="L1222">
        <v>1</v>
      </c>
      <c r="M1222">
        <v>0</v>
      </c>
      <c r="N1222">
        <v>1</v>
      </c>
    </row>
    <row r="1223" spans="1:16" x14ac:dyDescent="0.25">
      <c r="A1223" t="str">
        <f>"1219"</f>
        <v>1219</v>
      </c>
      <c r="B1223" t="str">
        <f t="shared" si="68"/>
        <v>102</v>
      </c>
      <c r="C1223" t="str">
        <f t="shared" si="67"/>
        <v>49</v>
      </c>
      <c r="D1223" t="str">
        <f>"18"</f>
        <v>18</v>
      </c>
      <c r="E1223" t="str">
        <f>"102-49-18"</f>
        <v>102-49-18</v>
      </c>
      <c r="F1223" t="s">
        <v>18</v>
      </c>
      <c r="G1223" t="s">
        <v>20</v>
      </c>
      <c r="H1223">
        <v>1</v>
      </c>
      <c r="K1223">
        <v>0</v>
      </c>
      <c r="L1223">
        <v>1</v>
      </c>
      <c r="M1223">
        <v>0</v>
      </c>
      <c r="N1223">
        <v>1</v>
      </c>
    </row>
    <row r="1224" spans="1:16" x14ac:dyDescent="0.25">
      <c r="A1224" t="str">
        <f>"1220"</f>
        <v>1220</v>
      </c>
      <c r="B1224" t="str">
        <f t="shared" si="68"/>
        <v>102</v>
      </c>
      <c r="C1224" t="str">
        <f t="shared" si="67"/>
        <v>49</v>
      </c>
      <c r="D1224" t="str">
        <f>"3"</f>
        <v>3</v>
      </c>
      <c r="E1224" t="str">
        <f>"102-49-3"</f>
        <v>102-49-3</v>
      </c>
      <c r="F1224" t="s">
        <v>18</v>
      </c>
      <c r="G1224" t="s">
        <v>20</v>
      </c>
      <c r="H1224">
        <v>1</v>
      </c>
      <c r="K1224">
        <v>1</v>
      </c>
      <c r="L1224">
        <v>0</v>
      </c>
      <c r="M1224">
        <v>1</v>
      </c>
      <c r="N1224">
        <v>0</v>
      </c>
    </row>
    <row r="1225" spans="1:16" x14ac:dyDescent="0.25">
      <c r="A1225" t="str">
        <f>"1221"</f>
        <v>1221</v>
      </c>
      <c r="B1225" t="str">
        <f t="shared" si="68"/>
        <v>102</v>
      </c>
      <c r="C1225" t="str">
        <f t="shared" si="67"/>
        <v>49</v>
      </c>
      <c r="D1225" t="str">
        <f>"25"</f>
        <v>25</v>
      </c>
      <c r="E1225" t="str">
        <f>"102-49-25"</f>
        <v>102-49-25</v>
      </c>
      <c r="F1225" t="s">
        <v>18</v>
      </c>
      <c r="G1225" t="s">
        <v>20</v>
      </c>
      <c r="H1225">
        <v>1</v>
      </c>
      <c r="K1225">
        <v>0</v>
      </c>
      <c r="L1225">
        <v>1</v>
      </c>
      <c r="M1225">
        <v>0</v>
      </c>
      <c r="N1225">
        <v>1</v>
      </c>
    </row>
    <row r="1226" spans="1:16" x14ac:dyDescent="0.25">
      <c r="A1226" t="str">
        <f>"1222"</f>
        <v>1222</v>
      </c>
      <c r="B1226" t="str">
        <f t="shared" si="68"/>
        <v>102</v>
      </c>
      <c r="C1226" t="str">
        <f t="shared" si="67"/>
        <v>49</v>
      </c>
      <c r="D1226" t="str">
        <f>"20"</f>
        <v>20</v>
      </c>
      <c r="E1226" t="str">
        <f>"102-49-20"</f>
        <v>102-49-20</v>
      </c>
      <c r="F1226" t="s">
        <v>18</v>
      </c>
      <c r="G1226" t="s">
        <v>20</v>
      </c>
      <c r="H1226">
        <v>1</v>
      </c>
      <c r="K1226">
        <v>0</v>
      </c>
      <c r="L1226">
        <v>1</v>
      </c>
      <c r="M1226">
        <v>1</v>
      </c>
      <c r="N1226">
        <v>0</v>
      </c>
    </row>
    <row r="1227" spans="1:16" x14ac:dyDescent="0.25">
      <c r="A1227" t="str">
        <f>"1223"</f>
        <v>1223</v>
      </c>
      <c r="B1227" t="str">
        <f t="shared" si="68"/>
        <v>102</v>
      </c>
      <c r="C1227" t="str">
        <f t="shared" si="67"/>
        <v>49</v>
      </c>
      <c r="D1227" t="str">
        <f>"4"</f>
        <v>4</v>
      </c>
      <c r="E1227" t="str">
        <f>"102-49-4"</f>
        <v>102-49-4</v>
      </c>
      <c r="F1227" t="s">
        <v>18</v>
      </c>
      <c r="G1227" t="s">
        <v>20</v>
      </c>
      <c r="H1227">
        <v>1</v>
      </c>
      <c r="K1227">
        <v>0</v>
      </c>
      <c r="L1227">
        <v>1</v>
      </c>
      <c r="M1227">
        <v>0</v>
      </c>
      <c r="N1227">
        <v>1</v>
      </c>
    </row>
    <row r="1228" spans="1:16" x14ac:dyDescent="0.25">
      <c r="A1228" t="str">
        <f>"1224"</f>
        <v>1224</v>
      </c>
      <c r="B1228" t="str">
        <f t="shared" si="68"/>
        <v>102</v>
      </c>
      <c r="C1228" t="str">
        <f t="shared" si="67"/>
        <v>49</v>
      </c>
      <c r="D1228" t="str">
        <f>"21"</f>
        <v>21</v>
      </c>
      <c r="E1228" t="str">
        <f>"102-49-21"</f>
        <v>102-49-21</v>
      </c>
      <c r="F1228" t="s">
        <v>18</v>
      </c>
      <c r="G1228" t="s">
        <v>20</v>
      </c>
      <c r="H1228">
        <v>1</v>
      </c>
      <c r="K1228">
        <v>0</v>
      </c>
      <c r="L1228">
        <v>1</v>
      </c>
      <c r="M1228">
        <v>0</v>
      </c>
      <c r="N1228">
        <v>1</v>
      </c>
    </row>
    <row r="1229" spans="1:16" x14ac:dyDescent="0.25">
      <c r="A1229" t="str">
        <f>"1225"</f>
        <v>1225</v>
      </c>
      <c r="B1229" t="str">
        <f t="shared" si="68"/>
        <v>102</v>
      </c>
      <c r="C1229" t="str">
        <f t="shared" si="67"/>
        <v>49</v>
      </c>
      <c r="D1229" t="str">
        <f>"6"</f>
        <v>6</v>
      </c>
      <c r="E1229" t="str">
        <f>"102-49-6"</f>
        <v>102-49-6</v>
      </c>
      <c r="F1229" t="s">
        <v>18</v>
      </c>
      <c r="G1229" t="s">
        <v>20</v>
      </c>
      <c r="H1229">
        <v>1</v>
      </c>
      <c r="K1229">
        <v>1</v>
      </c>
      <c r="L1229">
        <v>0</v>
      </c>
      <c r="M1229">
        <v>1</v>
      </c>
      <c r="N1229">
        <v>0</v>
      </c>
    </row>
    <row r="1230" spans="1:16" x14ac:dyDescent="0.25">
      <c r="A1230" t="str">
        <f>"1226"</f>
        <v>1226</v>
      </c>
      <c r="B1230" t="str">
        <f t="shared" si="68"/>
        <v>102</v>
      </c>
      <c r="C1230" t="str">
        <f t="shared" ref="C1230:C1254" si="69">"50"</f>
        <v>50</v>
      </c>
      <c r="D1230" t="str">
        <f>"21"</f>
        <v>21</v>
      </c>
      <c r="E1230" t="str">
        <f>"102-50-21"</f>
        <v>102-50-21</v>
      </c>
      <c r="F1230" t="s">
        <v>18</v>
      </c>
      <c r="G1230" t="s">
        <v>19</v>
      </c>
      <c r="H1230">
        <v>2</v>
      </c>
      <c r="I1230">
        <v>0</v>
      </c>
      <c r="J1230">
        <v>0</v>
      </c>
      <c r="K1230">
        <v>0</v>
      </c>
      <c r="L1230">
        <v>1</v>
      </c>
      <c r="M1230">
        <v>0</v>
      </c>
      <c r="N1230">
        <v>1</v>
      </c>
      <c r="O1230">
        <v>0</v>
      </c>
      <c r="P1230">
        <v>1</v>
      </c>
    </row>
    <row r="1231" spans="1:16" x14ac:dyDescent="0.25">
      <c r="A1231" t="str">
        <f>"1227"</f>
        <v>1227</v>
      </c>
      <c r="B1231" t="str">
        <f t="shared" si="68"/>
        <v>102</v>
      </c>
      <c r="C1231" t="str">
        <f t="shared" si="69"/>
        <v>50</v>
      </c>
      <c r="D1231" t="str">
        <f>"11"</f>
        <v>11</v>
      </c>
      <c r="E1231" t="str">
        <f>"102-50-11"</f>
        <v>102-50-11</v>
      </c>
      <c r="F1231" t="s">
        <v>18</v>
      </c>
      <c r="G1231" t="s">
        <v>20</v>
      </c>
      <c r="H1231">
        <v>1</v>
      </c>
      <c r="K1231">
        <v>1</v>
      </c>
      <c r="L1231">
        <v>0</v>
      </c>
      <c r="M1231">
        <v>1</v>
      </c>
      <c r="N1231">
        <v>0</v>
      </c>
    </row>
    <row r="1232" spans="1:16" x14ac:dyDescent="0.25">
      <c r="A1232" t="str">
        <f>"1228"</f>
        <v>1228</v>
      </c>
      <c r="B1232" t="str">
        <f t="shared" si="68"/>
        <v>102</v>
      </c>
      <c r="C1232" t="str">
        <f t="shared" si="69"/>
        <v>50</v>
      </c>
      <c r="D1232" t="str">
        <f>"1"</f>
        <v>1</v>
      </c>
      <c r="E1232" t="str">
        <f>"102-50-1"</f>
        <v>102-50-1</v>
      </c>
      <c r="F1232" t="s">
        <v>18</v>
      </c>
      <c r="G1232" t="s">
        <v>20</v>
      </c>
      <c r="H1232">
        <v>1</v>
      </c>
      <c r="K1232">
        <v>0</v>
      </c>
      <c r="L1232">
        <v>1</v>
      </c>
      <c r="M1232">
        <v>0</v>
      </c>
      <c r="N1232">
        <v>1</v>
      </c>
    </row>
    <row r="1233" spans="1:16" x14ac:dyDescent="0.25">
      <c r="A1233" t="str">
        <f>"1229"</f>
        <v>1229</v>
      </c>
      <c r="B1233" t="str">
        <f t="shared" si="68"/>
        <v>102</v>
      </c>
      <c r="C1233" t="str">
        <f t="shared" si="69"/>
        <v>50</v>
      </c>
      <c r="D1233" t="str">
        <f>"22"</f>
        <v>22</v>
      </c>
      <c r="E1233" t="str">
        <f>"102-50-22"</f>
        <v>102-50-22</v>
      </c>
      <c r="F1233" t="s">
        <v>18</v>
      </c>
      <c r="G1233" t="s">
        <v>19</v>
      </c>
      <c r="H1233">
        <v>2</v>
      </c>
      <c r="I1233">
        <v>1</v>
      </c>
      <c r="J1233">
        <v>0</v>
      </c>
      <c r="K1233">
        <v>0</v>
      </c>
      <c r="L1233">
        <v>1</v>
      </c>
      <c r="M1233">
        <v>0</v>
      </c>
      <c r="N1233">
        <v>1</v>
      </c>
      <c r="O1233">
        <v>0</v>
      </c>
      <c r="P1233">
        <v>1</v>
      </c>
    </row>
    <row r="1234" spans="1:16" x14ac:dyDescent="0.25">
      <c r="A1234" t="str">
        <f>"1230"</f>
        <v>1230</v>
      </c>
      <c r="B1234" t="str">
        <f t="shared" si="68"/>
        <v>102</v>
      </c>
      <c r="C1234" t="str">
        <f t="shared" si="69"/>
        <v>50</v>
      </c>
      <c r="D1234" t="str">
        <f>"12"</f>
        <v>12</v>
      </c>
      <c r="E1234" t="str">
        <f>"102-50-12"</f>
        <v>102-50-12</v>
      </c>
      <c r="F1234" t="s">
        <v>18</v>
      </c>
      <c r="G1234" t="s">
        <v>20</v>
      </c>
      <c r="H1234">
        <v>1</v>
      </c>
      <c r="K1234">
        <v>1</v>
      </c>
      <c r="L1234">
        <v>0</v>
      </c>
      <c r="M1234">
        <v>0</v>
      </c>
      <c r="N1234">
        <v>1</v>
      </c>
    </row>
    <row r="1235" spans="1:16" x14ac:dyDescent="0.25">
      <c r="A1235" t="str">
        <f>"1231"</f>
        <v>1231</v>
      </c>
      <c r="B1235" t="str">
        <f t="shared" si="68"/>
        <v>102</v>
      </c>
      <c r="C1235" t="str">
        <f t="shared" si="69"/>
        <v>50</v>
      </c>
      <c r="D1235" t="str">
        <f>"2"</f>
        <v>2</v>
      </c>
      <c r="E1235" t="str">
        <f>"102-50-2"</f>
        <v>102-50-2</v>
      </c>
      <c r="F1235" t="s">
        <v>18</v>
      </c>
      <c r="G1235" t="s">
        <v>20</v>
      </c>
      <c r="H1235">
        <v>1</v>
      </c>
      <c r="K1235">
        <v>0</v>
      </c>
      <c r="L1235">
        <v>1</v>
      </c>
      <c r="M1235">
        <v>0</v>
      </c>
      <c r="N1235">
        <v>1</v>
      </c>
    </row>
    <row r="1236" spans="1:16" x14ac:dyDescent="0.25">
      <c r="A1236" t="str">
        <f>"1232"</f>
        <v>1232</v>
      </c>
      <c r="B1236" t="str">
        <f t="shared" si="68"/>
        <v>102</v>
      </c>
      <c r="C1236" t="str">
        <f t="shared" si="69"/>
        <v>50</v>
      </c>
      <c r="D1236" t="str">
        <f>"23"</f>
        <v>23</v>
      </c>
      <c r="E1236" t="str">
        <f>"102-50-23"</f>
        <v>102-50-23</v>
      </c>
      <c r="F1236" t="s">
        <v>18</v>
      </c>
      <c r="G1236" t="s">
        <v>19</v>
      </c>
      <c r="H1236">
        <v>2</v>
      </c>
      <c r="I1236">
        <v>0</v>
      </c>
      <c r="J1236">
        <v>1</v>
      </c>
      <c r="K1236">
        <v>1</v>
      </c>
      <c r="L1236">
        <v>0</v>
      </c>
      <c r="M1236">
        <v>1</v>
      </c>
      <c r="N1236">
        <v>0</v>
      </c>
      <c r="O1236">
        <v>1</v>
      </c>
      <c r="P1236">
        <v>0</v>
      </c>
    </row>
    <row r="1237" spans="1:16" x14ac:dyDescent="0.25">
      <c r="A1237" t="str">
        <f>"1233"</f>
        <v>1233</v>
      </c>
      <c r="B1237" t="str">
        <f t="shared" si="68"/>
        <v>102</v>
      </c>
      <c r="C1237" t="str">
        <f t="shared" si="69"/>
        <v>50</v>
      </c>
      <c r="D1237" t="str">
        <f>"13"</f>
        <v>13</v>
      </c>
      <c r="E1237" t="str">
        <f>"102-50-13"</f>
        <v>102-50-13</v>
      </c>
      <c r="F1237" t="s">
        <v>18</v>
      </c>
      <c r="G1237" t="s">
        <v>20</v>
      </c>
      <c r="H1237">
        <v>1</v>
      </c>
      <c r="K1237">
        <v>0</v>
      </c>
      <c r="L1237">
        <v>1</v>
      </c>
      <c r="M1237">
        <v>0</v>
      </c>
      <c r="N1237">
        <v>1</v>
      </c>
    </row>
    <row r="1238" spans="1:16" x14ac:dyDescent="0.25">
      <c r="A1238" t="str">
        <f>"1234"</f>
        <v>1234</v>
      </c>
      <c r="B1238" t="str">
        <f t="shared" si="68"/>
        <v>102</v>
      </c>
      <c r="C1238" t="str">
        <f t="shared" si="69"/>
        <v>50</v>
      </c>
      <c r="D1238" t="str">
        <f>"6"</f>
        <v>6</v>
      </c>
      <c r="E1238" t="str">
        <f>"102-50-6"</f>
        <v>102-50-6</v>
      </c>
      <c r="F1238" t="s">
        <v>18</v>
      </c>
      <c r="G1238" t="s">
        <v>20</v>
      </c>
      <c r="H1238">
        <v>1</v>
      </c>
      <c r="K1238">
        <v>0</v>
      </c>
      <c r="L1238">
        <v>1</v>
      </c>
      <c r="M1238">
        <v>0</v>
      </c>
      <c r="N1238">
        <v>1</v>
      </c>
    </row>
    <row r="1239" spans="1:16" x14ac:dyDescent="0.25">
      <c r="A1239" t="str">
        <f>"1235"</f>
        <v>1235</v>
      </c>
      <c r="B1239" t="str">
        <f t="shared" si="68"/>
        <v>102</v>
      </c>
      <c r="C1239" t="str">
        <f t="shared" si="69"/>
        <v>50</v>
      </c>
      <c r="D1239" t="str">
        <f>"24"</f>
        <v>24</v>
      </c>
      <c r="E1239" t="str">
        <f>"102-50-24"</f>
        <v>102-50-24</v>
      </c>
      <c r="F1239" t="s">
        <v>18</v>
      </c>
      <c r="G1239" t="s">
        <v>19</v>
      </c>
      <c r="H1239">
        <v>2</v>
      </c>
      <c r="I1239">
        <v>0</v>
      </c>
      <c r="J1239">
        <v>1</v>
      </c>
      <c r="K1239">
        <v>1</v>
      </c>
      <c r="L1239">
        <v>0</v>
      </c>
      <c r="M1239">
        <v>1</v>
      </c>
      <c r="N1239">
        <v>0</v>
      </c>
      <c r="O1239">
        <v>1</v>
      </c>
      <c r="P1239">
        <v>0</v>
      </c>
    </row>
    <row r="1240" spans="1:16" x14ac:dyDescent="0.25">
      <c r="A1240" t="str">
        <f>"1236"</f>
        <v>1236</v>
      </c>
      <c r="B1240" t="str">
        <f t="shared" si="68"/>
        <v>102</v>
      </c>
      <c r="C1240" t="str">
        <f t="shared" si="69"/>
        <v>50</v>
      </c>
      <c r="D1240" t="str">
        <f>"14"</f>
        <v>14</v>
      </c>
      <c r="E1240" t="str">
        <f>"102-50-14"</f>
        <v>102-50-14</v>
      </c>
      <c r="F1240" t="s">
        <v>18</v>
      </c>
      <c r="G1240" t="s">
        <v>20</v>
      </c>
      <c r="H1240">
        <v>1</v>
      </c>
      <c r="K1240">
        <v>1</v>
      </c>
      <c r="L1240">
        <v>0</v>
      </c>
      <c r="M1240">
        <v>1</v>
      </c>
      <c r="N1240">
        <v>0</v>
      </c>
    </row>
    <row r="1241" spans="1:16" x14ac:dyDescent="0.25">
      <c r="A1241" t="str">
        <f>"1237"</f>
        <v>1237</v>
      </c>
      <c r="B1241" t="str">
        <f t="shared" si="68"/>
        <v>102</v>
      </c>
      <c r="C1241" t="str">
        <f t="shared" si="69"/>
        <v>50</v>
      </c>
      <c r="D1241" t="str">
        <f>"3"</f>
        <v>3</v>
      </c>
      <c r="E1241" t="str">
        <f>"102-50-3"</f>
        <v>102-50-3</v>
      </c>
      <c r="F1241" t="s">
        <v>18</v>
      </c>
      <c r="G1241" t="s">
        <v>20</v>
      </c>
      <c r="H1241">
        <v>1</v>
      </c>
      <c r="K1241">
        <v>1</v>
      </c>
      <c r="L1241">
        <v>0</v>
      </c>
      <c r="M1241">
        <v>1</v>
      </c>
      <c r="N1241">
        <v>0</v>
      </c>
    </row>
    <row r="1242" spans="1:16" x14ac:dyDescent="0.25">
      <c r="A1242" t="str">
        <f>"1238"</f>
        <v>1238</v>
      </c>
      <c r="B1242" t="str">
        <f t="shared" si="68"/>
        <v>102</v>
      </c>
      <c r="C1242" t="str">
        <f t="shared" si="69"/>
        <v>50</v>
      </c>
      <c r="D1242" t="str">
        <f>"25"</f>
        <v>25</v>
      </c>
      <c r="E1242" t="str">
        <f>"102-50-25"</f>
        <v>102-50-25</v>
      </c>
      <c r="F1242" t="s">
        <v>18</v>
      </c>
      <c r="G1242" t="s">
        <v>19</v>
      </c>
      <c r="H1242">
        <v>2</v>
      </c>
      <c r="I1242">
        <v>1</v>
      </c>
      <c r="J1242">
        <v>1</v>
      </c>
      <c r="K1242">
        <v>0</v>
      </c>
      <c r="L1242">
        <v>1</v>
      </c>
      <c r="M1242">
        <v>0</v>
      </c>
      <c r="N1242">
        <v>1</v>
      </c>
      <c r="O1242">
        <v>1</v>
      </c>
      <c r="P1242">
        <v>0</v>
      </c>
    </row>
    <row r="1243" spans="1:16" x14ac:dyDescent="0.25">
      <c r="A1243" t="str">
        <f>"1239"</f>
        <v>1239</v>
      </c>
      <c r="B1243" t="str">
        <f t="shared" si="68"/>
        <v>102</v>
      </c>
      <c r="C1243" t="str">
        <f t="shared" si="69"/>
        <v>50</v>
      </c>
      <c r="D1243" t="str">
        <f>"15"</f>
        <v>15</v>
      </c>
      <c r="E1243" t="str">
        <f>"102-50-15"</f>
        <v>102-50-15</v>
      </c>
      <c r="F1243" t="s">
        <v>18</v>
      </c>
      <c r="G1243" t="s">
        <v>20</v>
      </c>
      <c r="H1243">
        <v>1</v>
      </c>
      <c r="K1243">
        <v>0</v>
      </c>
      <c r="L1243">
        <v>1</v>
      </c>
      <c r="M1243">
        <v>0</v>
      </c>
      <c r="N1243">
        <v>1</v>
      </c>
    </row>
    <row r="1244" spans="1:16" x14ac:dyDescent="0.25">
      <c r="A1244" t="str">
        <f>"1240"</f>
        <v>1240</v>
      </c>
      <c r="B1244" t="str">
        <f t="shared" si="68"/>
        <v>102</v>
      </c>
      <c r="C1244" t="str">
        <f t="shared" si="69"/>
        <v>50</v>
      </c>
      <c r="D1244" t="str">
        <f>"9"</f>
        <v>9</v>
      </c>
      <c r="E1244" t="str">
        <f>"102-50-9"</f>
        <v>102-50-9</v>
      </c>
      <c r="F1244" t="s">
        <v>18</v>
      </c>
      <c r="G1244" t="s">
        <v>20</v>
      </c>
      <c r="H1244">
        <v>1</v>
      </c>
      <c r="K1244">
        <v>1</v>
      </c>
      <c r="L1244">
        <v>0</v>
      </c>
      <c r="M1244">
        <v>1</v>
      </c>
      <c r="N1244">
        <v>0</v>
      </c>
    </row>
    <row r="1245" spans="1:16" x14ac:dyDescent="0.25">
      <c r="A1245" t="str">
        <f>"1241"</f>
        <v>1241</v>
      </c>
      <c r="B1245" t="str">
        <f t="shared" si="68"/>
        <v>102</v>
      </c>
      <c r="C1245" t="str">
        <f t="shared" si="69"/>
        <v>50</v>
      </c>
      <c r="D1245" t="str">
        <f>"16"</f>
        <v>16</v>
      </c>
      <c r="E1245" t="str">
        <f>"102-50-16"</f>
        <v>102-50-16</v>
      </c>
      <c r="F1245" t="s">
        <v>18</v>
      </c>
      <c r="G1245" t="s">
        <v>20</v>
      </c>
      <c r="H1245">
        <v>1</v>
      </c>
      <c r="K1245">
        <v>0</v>
      </c>
      <c r="L1245">
        <v>1</v>
      </c>
      <c r="M1245">
        <v>0</v>
      </c>
      <c r="N1245">
        <v>1</v>
      </c>
    </row>
    <row r="1246" spans="1:16" x14ac:dyDescent="0.25">
      <c r="A1246" t="str">
        <f>"1242"</f>
        <v>1242</v>
      </c>
      <c r="B1246" t="str">
        <f t="shared" si="68"/>
        <v>102</v>
      </c>
      <c r="C1246" t="str">
        <f t="shared" si="69"/>
        <v>50</v>
      </c>
      <c r="D1246" t="str">
        <f>"4"</f>
        <v>4</v>
      </c>
      <c r="E1246" t="str">
        <f>"102-50-4"</f>
        <v>102-50-4</v>
      </c>
      <c r="F1246" t="s">
        <v>18</v>
      </c>
      <c r="G1246" t="s">
        <v>20</v>
      </c>
      <c r="H1246">
        <v>1</v>
      </c>
      <c r="K1246">
        <v>1</v>
      </c>
      <c r="L1246">
        <v>0</v>
      </c>
      <c r="M1246">
        <v>1</v>
      </c>
      <c r="N1246">
        <v>0</v>
      </c>
    </row>
    <row r="1247" spans="1:16" x14ac:dyDescent="0.25">
      <c r="A1247" t="str">
        <f>"1243"</f>
        <v>1243</v>
      </c>
      <c r="B1247" t="str">
        <f t="shared" si="68"/>
        <v>102</v>
      </c>
      <c r="C1247" t="str">
        <f t="shared" si="69"/>
        <v>50</v>
      </c>
      <c r="D1247" t="str">
        <f>"17"</f>
        <v>17</v>
      </c>
      <c r="E1247" t="str">
        <f>"102-50-17"</f>
        <v>102-50-17</v>
      </c>
      <c r="F1247" t="s">
        <v>18</v>
      </c>
      <c r="G1247" t="s">
        <v>20</v>
      </c>
      <c r="H1247">
        <v>1</v>
      </c>
      <c r="K1247">
        <v>1</v>
      </c>
      <c r="L1247">
        <v>0</v>
      </c>
      <c r="M1247">
        <v>1</v>
      </c>
      <c r="N1247">
        <v>0</v>
      </c>
    </row>
    <row r="1248" spans="1:16" x14ac:dyDescent="0.25">
      <c r="A1248" t="str">
        <f>"1244"</f>
        <v>1244</v>
      </c>
      <c r="B1248" t="str">
        <f t="shared" si="68"/>
        <v>102</v>
      </c>
      <c r="C1248" t="str">
        <f t="shared" si="69"/>
        <v>50</v>
      </c>
      <c r="D1248" t="str">
        <f>"10"</f>
        <v>10</v>
      </c>
      <c r="E1248" t="str">
        <f>"102-50-10"</f>
        <v>102-50-10</v>
      </c>
      <c r="F1248" t="s">
        <v>18</v>
      </c>
      <c r="G1248" t="s">
        <v>20</v>
      </c>
      <c r="H1248">
        <v>1</v>
      </c>
      <c r="K1248">
        <v>1</v>
      </c>
      <c r="L1248">
        <v>0</v>
      </c>
      <c r="M1248">
        <v>1</v>
      </c>
      <c r="N1248">
        <v>0</v>
      </c>
    </row>
    <row r="1249" spans="1:16" x14ac:dyDescent="0.25">
      <c r="A1249" t="str">
        <f>"1245"</f>
        <v>1245</v>
      </c>
      <c r="B1249" t="str">
        <f t="shared" si="68"/>
        <v>102</v>
      </c>
      <c r="C1249" t="str">
        <f t="shared" si="69"/>
        <v>50</v>
      </c>
      <c r="D1249" t="str">
        <f>"18"</f>
        <v>18</v>
      </c>
      <c r="E1249" t="str">
        <f>"102-50-18"</f>
        <v>102-50-18</v>
      </c>
      <c r="F1249" t="s">
        <v>18</v>
      </c>
      <c r="G1249" t="s">
        <v>20</v>
      </c>
      <c r="H1249">
        <v>1</v>
      </c>
      <c r="K1249">
        <v>1</v>
      </c>
      <c r="L1249">
        <v>0</v>
      </c>
      <c r="M1249">
        <v>1</v>
      </c>
      <c r="N1249">
        <v>0</v>
      </c>
    </row>
    <row r="1250" spans="1:16" x14ac:dyDescent="0.25">
      <c r="A1250" t="str">
        <f>"1246"</f>
        <v>1246</v>
      </c>
      <c r="B1250" t="str">
        <f t="shared" si="68"/>
        <v>102</v>
      </c>
      <c r="C1250" t="str">
        <f t="shared" si="69"/>
        <v>50</v>
      </c>
      <c r="D1250" t="str">
        <f>"5"</f>
        <v>5</v>
      </c>
      <c r="E1250" t="str">
        <f>"102-50-5"</f>
        <v>102-50-5</v>
      </c>
      <c r="F1250" t="s">
        <v>18</v>
      </c>
      <c r="G1250" t="s">
        <v>20</v>
      </c>
      <c r="H1250">
        <v>1</v>
      </c>
      <c r="K1250">
        <v>0</v>
      </c>
      <c r="L1250">
        <v>1</v>
      </c>
      <c r="M1250">
        <v>0</v>
      </c>
      <c r="N1250">
        <v>1</v>
      </c>
    </row>
    <row r="1251" spans="1:16" x14ac:dyDescent="0.25">
      <c r="A1251" t="str">
        <f>"1247"</f>
        <v>1247</v>
      </c>
      <c r="B1251" t="str">
        <f t="shared" si="68"/>
        <v>102</v>
      </c>
      <c r="C1251" t="str">
        <f t="shared" si="69"/>
        <v>50</v>
      </c>
      <c r="D1251" t="str">
        <f>"19"</f>
        <v>19</v>
      </c>
      <c r="E1251" t="str">
        <f>"102-50-19"</f>
        <v>102-50-19</v>
      </c>
      <c r="F1251" t="s">
        <v>18</v>
      </c>
      <c r="G1251" t="s">
        <v>19</v>
      </c>
      <c r="H1251">
        <v>2</v>
      </c>
      <c r="I1251">
        <v>1</v>
      </c>
      <c r="J1251">
        <v>1</v>
      </c>
      <c r="K1251">
        <v>1</v>
      </c>
      <c r="L1251">
        <v>0</v>
      </c>
      <c r="M1251">
        <v>1</v>
      </c>
      <c r="N1251">
        <v>0</v>
      </c>
      <c r="O1251">
        <v>1</v>
      </c>
      <c r="P1251">
        <v>0</v>
      </c>
    </row>
    <row r="1252" spans="1:16" x14ac:dyDescent="0.25">
      <c r="A1252" t="str">
        <f>"1248"</f>
        <v>1248</v>
      </c>
      <c r="B1252" t="str">
        <f t="shared" si="68"/>
        <v>102</v>
      </c>
      <c r="C1252" t="str">
        <f t="shared" si="69"/>
        <v>50</v>
      </c>
      <c r="D1252" t="str">
        <f>"8"</f>
        <v>8</v>
      </c>
      <c r="E1252" t="str">
        <f>"102-50-8"</f>
        <v>102-50-8</v>
      </c>
      <c r="F1252" t="s">
        <v>18</v>
      </c>
      <c r="G1252" t="s">
        <v>20</v>
      </c>
      <c r="H1252">
        <v>1</v>
      </c>
      <c r="K1252">
        <v>0</v>
      </c>
      <c r="L1252">
        <v>1</v>
      </c>
      <c r="M1252">
        <v>0</v>
      </c>
      <c r="N1252">
        <v>1</v>
      </c>
    </row>
    <row r="1253" spans="1:16" x14ac:dyDescent="0.25">
      <c r="A1253" t="str">
        <f>"1249"</f>
        <v>1249</v>
      </c>
      <c r="B1253" t="str">
        <f t="shared" si="68"/>
        <v>102</v>
      </c>
      <c r="C1253" t="str">
        <f t="shared" si="69"/>
        <v>50</v>
      </c>
      <c r="D1253" t="str">
        <f>"20"</f>
        <v>20</v>
      </c>
      <c r="E1253" t="str">
        <f>"102-50-20"</f>
        <v>102-50-20</v>
      </c>
      <c r="F1253" t="s">
        <v>18</v>
      </c>
      <c r="G1253" t="s">
        <v>19</v>
      </c>
      <c r="H1253">
        <v>2</v>
      </c>
      <c r="I1253">
        <v>0</v>
      </c>
      <c r="J1253">
        <v>0</v>
      </c>
      <c r="K1253">
        <v>1</v>
      </c>
      <c r="L1253">
        <v>0</v>
      </c>
      <c r="M1253">
        <v>1</v>
      </c>
      <c r="N1253">
        <v>0</v>
      </c>
      <c r="O1253">
        <v>1</v>
      </c>
      <c r="P1253">
        <v>0</v>
      </c>
    </row>
    <row r="1254" spans="1:16" x14ac:dyDescent="0.25">
      <c r="A1254" t="str">
        <f>"1250"</f>
        <v>1250</v>
      </c>
      <c r="B1254" t="str">
        <f t="shared" si="68"/>
        <v>102</v>
      </c>
      <c r="C1254" t="str">
        <f t="shared" si="69"/>
        <v>50</v>
      </c>
      <c r="D1254" t="str">
        <f>"7"</f>
        <v>7</v>
      </c>
      <c r="E1254" t="str">
        <f>"102-50-7"</f>
        <v>102-50-7</v>
      </c>
      <c r="F1254" t="s">
        <v>18</v>
      </c>
      <c r="G1254" t="s">
        <v>20</v>
      </c>
      <c r="H1254">
        <v>1</v>
      </c>
      <c r="K1254">
        <v>0</v>
      </c>
      <c r="L1254">
        <v>1</v>
      </c>
      <c r="M1254">
        <v>0</v>
      </c>
      <c r="N1254">
        <v>1</v>
      </c>
    </row>
    <row r="1255" spans="1:16" x14ac:dyDescent="0.25">
      <c r="A1255" t="str">
        <f>"1251"</f>
        <v>1251</v>
      </c>
      <c r="B1255" t="str">
        <f t="shared" si="68"/>
        <v>102</v>
      </c>
      <c r="C1255" t="str">
        <f t="shared" ref="C1255:C1279" si="70">"51"</f>
        <v>51</v>
      </c>
      <c r="D1255" t="str">
        <f>"25"</f>
        <v>25</v>
      </c>
      <c r="E1255" t="str">
        <f>"102-51-25"</f>
        <v>102-51-25</v>
      </c>
      <c r="F1255" t="s">
        <v>18</v>
      </c>
      <c r="G1255" t="s">
        <v>20</v>
      </c>
      <c r="H1255">
        <v>1</v>
      </c>
      <c r="K1255">
        <v>1</v>
      </c>
      <c r="L1255">
        <v>0</v>
      </c>
      <c r="M1255">
        <v>1</v>
      </c>
      <c r="N1255">
        <v>0</v>
      </c>
    </row>
    <row r="1256" spans="1:16" x14ac:dyDescent="0.25">
      <c r="A1256" t="str">
        <f>"1252"</f>
        <v>1252</v>
      </c>
      <c r="B1256" t="str">
        <f t="shared" si="68"/>
        <v>102</v>
      </c>
      <c r="C1256" t="str">
        <f t="shared" si="70"/>
        <v>51</v>
      </c>
      <c r="D1256" t="str">
        <f>"24"</f>
        <v>24</v>
      </c>
      <c r="E1256" t="str">
        <f>"102-51-24"</f>
        <v>102-51-24</v>
      </c>
      <c r="F1256" t="s">
        <v>18</v>
      </c>
      <c r="G1256" t="s">
        <v>19</v>
      </c>
      <c r="H1256">
        <v>2</v>
      </c>
      <c r="I1256">
        <v>1</v>
      </c>
      <c r="J1256">
        <v>0</v>
      </c>
      <c r="K1256">
        <v>1</v>
      </c>
      <c r="L1256">
        <v>0</v>
      </c>
      <c r="M1256">
        <v>0</v>
      </c>
      <c r="N1256">
        <v>1</v>
      </c>
      <c r="O1256">
        <v>1</v>
      </c>
      <c r="P1256">
        <v>0</v>
      </c>
    </row>
    <row r="1257" spans="1:16" x14ac:dyDescent="0.25">
      <c r="A1257" t="str">
        <f>"1253"</f>
        <v>1253</v>
      </c>
      <c r="B1257" t="str">
        <f t="shared" si="68"/>
        <v>102</v>
      </c>
      <c r="C1257" t="str">
        <f t="shared" si="70"/>
        <v>51</v>
      </c>
      <c r="D1257" t="str">
        <f>"18"</f>
        <v>18</v>
      </c>
      <c r="E1257" t="str">
        <f>"102-51-18"</f>
        <v>102-51-18</v>
      </c>
      <c r="F1257" t="s">
        <v>18</v>
      </c>
      <c r="G1257" t="s">
        <v>20</v>
      </c>
      <c r="H1257">
        <v>1</v>
      </c>
      <c r="K1257">
        <v>0</v>
      </c>
      <c r="L1257">
        <v>1</v>
      </c>
      <c r="M1257">
        <v>0</v>
      </c>
      <c r="N1257">
        <v>1</v>
      </c>
    </row>
    <row r="1258" spans="1:16" x14ac:dyDescent="0.25">
      <c r="A1258" t="str">
        <f>"1254"</f>
        <v>1254</v>
      </c>
      <c r="B1258" t="str">
        <f t="shared" si="68"/>
        <v>102</v>
      </c>
      <c r="C1258" t="str">
        <f t="shared" si="70"/>
        <v>51</v>
      </c>
      <c r="D1258" t="str">
        <f>"11"</f>
        <v>11</v>
      </c>
      <c r="E1258" t="str">
        <f>"102-51-11"</f>
        <v>102-51-11</v>
      </c>
      <c r="F1258" t="s">
        <v>18</v>
      </c>
      <c r="G1258" t="s">
        <v>20</v>
      </c>
      <c r="H1258">
        <v>1</v>
      </c>
      <c r="K1258">
        <v>1</v>
      </c>
      <c r="L1258">
        <v>0</v>
      </c>
      <c r="M1258">
        <v>1</v>
      </c>
      <c r="N1258">
        <v>0</v>
      </c>
    </row>
    <row r="1259" spans="1:16" x14ac:dyDescent="0.25">
      <c r="A1259" t="str">
        <f>"1255"</f>
        <v>1255</v>
      </c>
      <c r="B1259" t="str">
        <f t="shared" si="68"/>
        <v>102</v>
      </c>
      <c r="C1259" t="str">
        <f t="shared" si="70"/>
        <v>51</v>
      </c>
      <c r="D1259" t="str">
        <f>"1"</f>
        <v>1</v>
      </c>
      <c r="E1259" t="str">
        <f>"102-51-1"</f>
        <v>102-51-1</v>
      </c>
      <c r="F1259" t="s">
        <v>18</v>
      </c>
      <c r="G1259" t="s">
        <v>20</v>
      </c>
      <c r="H1259">
        <v>1</v>
      </c>
      <c r="K1259">
        <v>0</v>
      </c>
      <c r="L1259">
        <v>1</v>
      </c>
      <c r="M1259">
        <v>0</v>
      </c>
      <c r="N1259">
        <v>1</v>
      </c>
    </row>
    <row r="1260" spans="1:16" x14ac:dyDescent="0.25">
      <c r="A1260" t="str">
        <f>"1256"</f>
        <v>1256</v>
      </c>
      <c r="B1260" t="str">
        <f t="shared" si="68"/>
        <v>102</v>
      </c>
      <c r="C1260" t="str">
        <f t="shared" si="70"/>
        <v>51</v>
      </c>
      <c r="D1260" t="str">
        <f>"22"</f>
        <v>22</v>
      </c>
      <c r="E1260" t="str">
        <f>"102-51-22"</f>
        <v>102-51-22</v>
      </c>
      <c r="F1260" t="s">
        <v>18</v>
      </c>
      <c r="G1260" t="s">
        <v>20</v>
      </c>
      <c r="H1260">
        <v>1</v>
      </c>
      <c r="K1260">
        <v>0</v>
      </c>
      <c r="L1260">
        <v>1</v>
      </c>
      <c r="M1260">
        <v>0</v>
      </c>
      <c r="N1260">
        <v>1</v>
      </c>
    </row>
    <row r="1261" spans="1:16" x14ac:dyDescent="0.25">
      <c r="A1261" t="str">
        <f>"1257"</f>
        <v>1257</v>
      </c>
      <c r="B1261" t="str">
        <f t="shared" si="68"/>
        <v>102</v>
      </c>
      <c r="C1261" t="str">
        <f t="shared" si="70"/>
        <v>51</v>
      </c>
      <c r="D1261" t="str">
        <f>"12"</f>
        <v>12</v>
      </c>
      <c r="E1261" t="str">
        <f>"102-51-12"</f>
        <v>102-51-12</v>
      </c>
      <c r="F1261" t="s">
        <v>18</v>
      </c>
      <c r="G1261" t="s">
        <v>20</v>
      </c>
      <c r="H1261">
        <v>1</v>
      </c>
      <c r="K1261">
        <v>0</v>
      </c>
      <c r="L1261">
        <v>0</v>
      </c>
      <c r="M1261">
        <v>1</v>
      </c>
      <c r="N1261">
        <v>0</v>
      </c>
    </row>
    <row r="1262" spans="1:16" x14ac:dyDescent="0.25">
      <c r="A1262" t="str">
        <f>"1258"</f>
        <v>1258</v>
      </c>
      <c r="B1262" t="str">
        <f t="shared" si="68"/>
        <v>102</v>
      </c>
      <c r="C1262" t="str">
        <f t="shared" si="70"/>
        <v>51</v>
      </c>
      <c r="D1262" t="str">
        <f>"2"</f>
        <v>2</v>
      </c>
      <c r="E1262" t="str">
        <f>"102-51-2"</f>
        <v>102-51-2</v>
      </c>
      <c r="F1262" t="s">
        <v>18</v>
      </c>
      <c r="G1262" t="s">
        <v>20</v>
      </c>
      <c r="H1262">
        <v>1</v>
      </c>
      <c r="K1262">
        <v>0</v>
      </c>
      <c r="L1262">
        <v>1</v>
      </c>
      <c r="M1262">
        <v>0</v>
      </c>
      <c r="N1262">
        <v>1</v>
      </c>
    </row>
    <row r="1263" spans="1:16" x14ac:dyDescent="0.25">
      <c r="A1263" t="str">
        <f>"1259"</f>
        <v>1259</v>
      </c>
      <c r="B1263" t="str">
        <f t="shared" si="68"/>
        <v>102</v>
      </c>
      <c r="C1263" t="str">
        <f t="shared" si="70"/>
        <v>51</v>
      </c>
      <c r="D1263" t="str">
        <f>"13"</f>
        <v>13</v>
      </c>
      <c r="E1263" t="str">
        <f>"102-51-13"</f>
        <v>102-51-13</v>
      </c>
      <c r="F1263" t="s">
        <v>18</v>
      </c>
      <c r="G1263" t="s">
        <v>20</v>
      </c>
      <c r="H1263">
        <v>1</v>
      </c>
      <c r="K1263">
        <v>0</v>
      </c>
      <c r="L1263">
        <v>1</v>
      </c>
      <c r="M1263">
        <v>0</v>
      </c>
      <c r="N1263">
        <v>1</v>
      </c>
    </row>
    <row r="1264" spans="1:16" x14ac:dyDescent="0.25">
      <c r="A1264" t="str">
        <f>"1260"</f>
        <v>1260</v>
      </c>
      <c r="B1264" t="str">
        <f t="shared" si="68"/>
        <v>102</v>
      </c>
      <c r="C1264" t="str">
        <f t="shared" si="70"/>
        <v>51</v>
      </c>
      <c r="D1264" t="str">
        <f>"5"</f>
        <v>5</v>
      </c>
      <c r="E1264" t="str">
        <f>"102-51-5"</f>
        <v>102-51-5</v>
      </c>
      <c r="F1264" t="s">
        <v>18</v>
      </c>
      <c r="G1264" t="s">
        <v>20</v>
      </c>
      <c r="H1264">
        <v>1</v>
      </c>
      <c r="K1264">
        <v>1</v>
      </c>
      <c r="L1264">
        <v>0</v>
      </c>
      <c r="M1264">
        <v>1</v>
      </c>
      <c r="N1264">
        <v>0</v>
      </c>
    </row>
    <row r="1265" spans="1:16" x14ac:dyDescent="0.25">
      <c r="A1265" t="str">
        <f>"1261"</f>
        <v>1261</v>
      </c>
      <c r="B1265" t="str">
        <f t="shared" si="68"/>
        <v>102</v>
      </c>
      <c r="C1265" t="str">
        <f t="shared" si="70"/>
        <v>51</v>
      </c>
      <c r="D1265" t="str">
        <f>"14"</f>
        <v>14</v>
      </c>
      <c r="E1265" t="str">
        <f>"102-51-14"</f>
        <v>102-51-14</v>
      </c>
      <c r="F1265" t="s">
        <v>18</v>
      </c>
      <c r="G1265" t="s">
        <v>20</v>
      </c>
      <c r="H1265">
        <v>1</v>
      </c>
      <c r="K1265">
        <v>1</v>
      </c>
      <c r="L1265">
        <v>0</v>
      </c>
      <c r="M1265">
        <v>1</v>
      </c>
      <c r="N1265">
        <v>0</v>
      </c>
    </row>
    <row r="1266" spans="1:16" x14ac:dyDescent="0.25">
      <c r="A1266" t="str">
        <f>"1262"</f>
        <v>1262</v>
      </c>
      <c r="B1266" t="str">
        <f t="shared" si="68"/>
        <v>102</v>
      </c>
      <c r="C1266" t="str">
        <f t="shared" si="70"/>
        <v>51</v>
      </c>
      <c r="D1266" t="str">
        <f>"3"</f>
        <v>3</v>
      </c>
      <c r="E1266" t="str">
        <f>"102-51-3"</f>
        <v>102-51-3</v>
      </c>
      <c r="F1266" t="s">
        <v>18</v>
      </c>
      <c r="G1266" t="s">
        <v>20</v>
      </c>
      <c r="H1266">
        <v>1</v>
      </c>
      <c r="K1266">
        <v>0</v>
      </c>
      <c r="L1266">
        <v>1</v>
      </c>
      <c r="M1266">
        <v>0</v>
      </c>
      <c r="N1266">
        <v>1</v>
      </c>
    </row>
    <row r="1267" spans="1:16" x14ac:dyDescent="0.25">
      <c r="A1267" t="str">
        <f>"1263"</f>
        <v>1263</v>
      </c>
      <c r="B1267" t="str">
        <f t="shared" si="68"/>
        <v>102</v>
      </c>
      <c r="C1267" t="str">
        <f t="shared" si="70"/>
        <v>51</v>
      </c>
      <c r="D1267" t="str">
        <f>"23"</f>
        <v>23</v>
      </c>
      <c r="E1267" t="str">
        <f>"102-51-23"</f>
        <v>102-51-23</v>
      </c>
      <c r="F1267" t="s">
        <v>18</v>
      </c>
      <c r="G1267" t="s">
        <v>20</v>
      </c>
      <c r="H1267">
        <v>1</v>
      </c>
      <c r="K1267">
        <v>0</v>
      </c>
      <c r="L1267">
        <v>1</v>
      </c>
      <c r="M1267">
        <v>0</v>
      </c>
      <c r="N1267">
        <v>1</v>
      </c>
    </row>
    <row r="1268" spans="1:16" x14ac:dyDescent="0.25">
      <c r="A1268" t="str">
        <f>"1264"</f>
        <v>1264</v>
      </c>
      <c r="B1268" t="str">
        <f t="shared" si="68"/>
        <v>102</v>
      </c>
      <c r="C1268" t="str">
        <f t="shared" si="70"/>
        <v>51</v>
      </c>
      <c r="D1268" t="str">
        <f>"15"</f>
        <v>15</v>
      </c>
      <c r="E1268" t="str">
        <f>"102-51-15"</f>
        <v>102-51-15</v>
      </c>
      <c r="F1268" t="s">
        <v>18</v>
      </c>
      <c r="G1268" t="s">
        <v>20</v>
      </c>
      <c r="H1268">
        <v>1</v>
      </c>
      <c r="K1268">
        <v>0</v>
      </c>
      <c r="L1268">
        <v>1</v>
      </c>
      <c r="M1268">
        <v>0</v>
      </c>
      <c r="N1268">
        <v>1</v>
      </c>
    </row>
    <row r="1269" spans="1:16" x14ac:dyDescent="0.25">
      <c r="A1269" t="str">
        <f>"1265"</f>
        <v>1265</v>
      </c>
      <c r="B1269" t="str">
        <f t="shared" si="68"/>
        <v>102</v>
      </c>
      <c r="C1269" t="str">
        <f t="shared" si="70"/>
        <v>51</v>
      </c>
      <c r="D1269" t="str">
        <f>"6"</f>
        <v>6</v>
      </c>
      <c r="E1269" t="str">
        <f>"102-51-6"</f>
        <v>102-51-6</v>
      </c>
      <c r="F1269" t="s">
        <v>18</v>
      </c>
      <c r="G1269" t="s">
        <v>20</v>
      </c>
      <c r="H1269">
        <v>1</v>
      </c>
      <c r="K1269">
        <v>0</v>
      </c>
      <c r="L1269">
        <v>1</v>
      </c>
      <c r="M1269">
        <v>0</v>
      </c>
      <c r="N1269">
        <v>1</v>
      </c>
    </row>
    <row r="1270" spans="1:16" x14ac:dyDescent="0.25">
      <c r="A1270" t="str">
        <f>"1266"</f>
        <v>1266</v>
      </c>
      <c r="B1270" t="str">
        <f t="shared" si="68"/>
        <v>102</v>
      </c>
      <c r="C1270" t="str">
        <f t="shared" si="70"/>
        <v>51</v>
      </c>
      <c r="D1270" t="str">
        <f>"16"</f>
        <v>16</v>
      </c>
      <c r="E1270" t="str">
        <f>"102-51-16"</f>
        <v>102-51-16</v>
      </c>
      <c r="F1270" t="s">
        <v>18</v>
      </c>
      <c r="G1270" t="s">
        <v>20</v>
      </c>
      <c r="H1270">
        <v>1</v>
      </c>
      <c r="K1270">
        <v>1</v>
      </c>
      <c r="L1270">
        <v>0</v>
      </c>
      <c r="M1270">
        <v>1</v>
      </c>
      <c r="N1270">
        <v>0</v>
      </c>
    </row>
    <row r="1271" spans="1:16" x14ac:dyDescent="0.25">
      <c r="A1271" t="str">
        <f>"1267"</f>
        <v>1267</v>
      </c>
      <c r="B1271" t="str">
        <f t="shared" si="68"/>
        <v>102</v>
      </c>
      <c r="C1271" t="str">
        <f t="shared" si="70"/>
        <v>51</v>
      </c>
      <c r="D1271" t="str">
        <f>"4"</f>
        <v>4</v>
      </c>
      <c r="E1271" t="str">
        <f>"102-51-4"</f>
        <v>102-51-4</v>
      </c>
      <c r="F1271" t="s">
        <v>18</v>
      </c>
      <c r="G1271" t="s">
        <v>20</v>
      </c>
      <c r="H1271">
        <v>1</v>
      </c>
      <c r="K1271">
        <v>1</v>
      </c>
      <c r="L1271">
        <v>0</v>
      </c>
      <c r="M1271">
        <v>1</v>
      </c>
      <c r="N1271">
        <v>0</v>
      </c>
    </row>
    <row r="1272" spans="1:16" x14ac:dyDescent="0.25">
      <c r="A1272" t="str">
        <f>"1268"</f>
        <v>1268</v>
      </c>
      <c r="B1272" t="str">
        <f t="shared" si="68"/>
        <v>102</v>
      </c>
      <c r="C1272" t="str">
        <f t="shared" si="70"/>
        <v>51</v>
      </c>
      <c r="D1272" t="str">
        <f>"17"</f>
        <v>17</v>
      </c>
      <c r="E1272" t="str">
        <f>"102-51-17"</f>
        <v>102-51-17</v>
      </c>
      <c r="F1272" t="s">
        <v>18</v>
      </c>
      <c r="G1272" t="s">
        <v>20</v>
      </c>
      <c r="H1272">
        <v>1</v>
      </c>
      <c r="K1272">
        <v>1</v>
      </c>
      <c r="L1272">
        <v>0</v>
      </c>
      <c r="M1272">
        <v>1</v>
      </c>
      <c r="N1272">
        <v>0</v>
      </c>
    </row>
    <row r="1273" spans="1:16" x14ac:dyDescent="0.25">
      <c r="A1273" t="str">
        <f>"1269"</f>
        <v>1269</v>
      </c>
      <c r="B1273" t="str">
        <f t="shared" si="68"/>
        <v>102</v>
      </c>
      <c r="C1273" t="str">
        <f t="shared" si="70"/>
        <v>51</v>
      </c>
      <c r="D1273" t="str">
        <f>"10"</f>
        <v>10</v>
      </c>
      <c r="E1273" t="str">
        <f>"102-51-10"</f>
        <v>102-51-10</v>
      </c>
      <c r="F1273" t="s">
        <v>18</v>
      </c>
      <c r="G1273" t="s">
        <v>20</v>
      </c>
      <c r="H1273">
        <v>1</v>
      </c>
      <c r="K1273">
        <v>0</v>
      </c>
      <c r="L1273">
        <v>1</v>
      </c>
      <c r="M1273">
        <v>0</v>
      </c>
      <c r="N1273">
        <v>1</v>
      </c>
    </row>
    <row r="1274" spans="1:16" x14ac:dyDescent="0.25">
      <c r="A1274" t="str">
        <f>"1270"</f>
        <v>1270</v>
      </c>
      <c r="B1274" t="str">
        <f t="shared" si="68"/>
        <v>102</v>
      </c>
      <c r="C1274" t="str">
        <f t="shared" si="70"/>
        <v>51</v>
      </c>
      <c r="D1274" t="str">
        <f>"19"</f>
        <v>19</v>
      </c>
      <c r="E1274" t="str">
        <f>"102-51-19"</f>
        <v>102-51-19</v>
      </c>
      <c r="F1274" t="s">
        <v>18</v>
      </c>
      <c r="G1274" t="s">
        <v>20</v>
      </c>
      <c r="H1274">
        <v>1</v>
      </c>
      <c r="K1274">
        <v>1</v>
      </c>
      <c r="L1274">
        <v>0</v>
      </c>
      <c r="M1274">
        <v>1</v>
      </c>
      <c r="N1274">
        <v>0</v>
      </c>
    </row>
    <row r="1275" spans="1:16" x14ac:dyDescent="0.25">
      <c r="A1275" t="str">
        <f>"1271"</f>
        <v>1271</v>
      </c>
      <c r="B1275" t="str">
        <f t="shared" si="68"/>
        <v>102</v>
      </c>
      <c r="C1275" t="str">
        <f t="shared" si="70"/>
        <v>51</v>
      </c>
      <c r="D1275" t="str">
        <f>"8"</f>
        <v>8</v>
      </c>
      <c r="E1275" t="str">
        <f>"102-51-8"</f>
        <v>102-51-8</v>
      </c>
      <c r="F1275" t="s">
        <v>18</v>
      </c>
      <c r="G1275" t="s">
        <v>20</v>
      </c>
      <c r="H1275">
        <v>1</v>
      </c>
      <c r="K1275">
        <v>0</v>
      </c>
      <c r="L1275">
        <v>1</v>
      </c>
      <c r="M1275">
        <v>0</v>
      </c>
      <c r="N1275">
        <v>1</v>
      </c>
    </row>
    <row r="1276" spans="1:16" x14ac:dyDescent="0.25">
      <c r="A1276" t="str">
        <f>"1272"</f>
        <v>1272</v>
      </c>
      <c r="B1276" t="str">
        <f t="shared" si="68"/>
        <v>102</v>
      </c>
      <c r="C1276" t="str">
        <f t="shared" si="70"/>
        <v>51</v>
      </c>
      <c r="D1276" t="str">
        <f>"20"</f>
        <v>20</v>
      </c>
      <c r="E1276" t="str">
        <f>"102-51-20"</f>
        <v>102-51-20</v>
      </c>
      <c r="F1276" t="s">
        <v>18</v>
      </c>
      <c r="G1276" t="s">
        <v>20</v>
      </c>
      <c r="H1276">
        <v>1</v>
      </c>
      <c r="K1276">
        <v>1</v>
      </c>
      <c r="L1276">
        <v>0</v>
      </c>
      <c r="M1276">
        <v>1</v>
      </c>
      <c r="N1276">
        <v>0</v>
      </c>
    </row>
    <row r="1277" spans="1:16" x14ac:dyDescent="0.25">
      <c r="A1277" t="str">
        <f>"1273"</f>
        <v>1273</v>
      </c>
      <c r="B1277" t="str">
        <f t="shared" si="68"/>
        <v>102</v>
      </c>
      <c r="C1277" t="str">
        <f t="shared" si="70"/>
        <v>51</v>
      </c>
      <c r="D1277" t="str">
        <f>"7"</f>
        <v>7</v>
      </c>
      <c r="E1277" t="str">
        <f>"102-51-7"</f>
        <v>102-51-7</v>
      </c>
      <c r="F1277" t="s">
        <v>18</v>
      </c>
      <c r="G1277" t="s">
        <v>20</v>
      </c>
      <c r="H1277">
        <v>1</v>
      </c>
      <c r="K1277">
        <v>0</v>
      </c>
      <c r="L1277">
        <v>1</v>
      </c>
      <c r="M1277">
        <v>0</v>
      </c>
      <c r="N1277">
        <v>1</v>
      </c>
    </row>
    <row r="1278" spans="1:16" x14ac:dyDescent="0.25">
      <c r="A1278" t="str">
        <f>"1274"</f>
        <v>1274</v>
      </c>
      <c r="B1278" t="str">
        <f t="shared" si="68"/>
        <v>102</v>
      </c>
      <c r="C1278" t="str">
        <f t="shared" si="70"/>
        <v>51</v>
      </c>
      <c r="D1278" t="str">
        <f>"21"</f>
        <v>21</v>
      </c>
      <c r="E1278" t="str">
        <f>"102-51-21"</f>
        <v>102-51-21</v>
      </c>
      <c r="F1278" t="s">
        <v>18</v>
      </c>
      <c r="G1278" t="s">
        <v>20</v>
      </c>
      <c r="H1278">
        <v>1</v>
      </c>
      <c r="K1278">
        <v>0</v>
      </c>
      <c r="L1278">
        <v>1</v>
      </c>
      <c r="M1278">
        <v>0</v>
      </c>
      <c r="N1278">
        <v>1</v>
      </c>
    </row>
    <row r="1279" spans="1:16" x14ac:dyDescent="0.25">
      <c r="A1279" t="str">
        <f>"1275"</f>
        <v>1275</v>
      </c>
      <c r="B1279" t="str">
        <f t="shared" si="68"/>
        <v>102</v>
      </c>
      <c r="C1279" t="str">
        <f t="shared" si="70"/>
        <v>51</v>
      </c>
      <c r="D1279" t="str">
        <f>"9"</f>
        <v>9</v>
      </c>
      <c r="E1279" t="str">
        <f>"102-51-9"</f>
        <v>102-51-9</v>
      </c>
      <c r="F1279" t="s">
        <v>18</v>
      </c>
      <c r="G1279" t="s">
        <v>20</v>
      </c>
      <c r="H1279">
        <v>1</v>
      </c>
      <c r="K1279">
        <v>0</v>
      </c>
      <c r="L1279">
        <v>1</v>
      </c>
      <c r="M1279">
        <v>0</v>
      </c>
      <c r="N1279">
        <v>1</v>
      </c>
    </row>
    <row r="1280" spans="1:16" x14ac:dyDescent="0.25">
      <c r="A1280" t="str">
        <f>"1276"</f>
        <v>1276</v>
      </c>
      <c r="B1280" t="str">
        <f t="shared" si="68"/>
        <v>102</v>
      </c>
      <c r="C1280" t="str">
        <f t="shared" ref="C1280:C1304" si="71">"52"</f>
        <v>52</v>
      </c>
      <c r="D1280" t="str">
        <f>"23"</f>
        <v>23</v>
      </c>
      <c r="E1280" t="str">
        <f>"102-52-23"</f>
        <v>102-52-23</v>
      </c>
      <c r="F1280" t="s">
        <v>18</v>
      </c>
      <c r="G1280" t="s">
        <v>19</v>
      </c>
      <c r="H1280">
        <v>2</v>
      </c>
      <c r="I1280">
        <v>1</v>
      </c>
      <c r="J1280">
        <v>1</v>
      </c>
      <c r="K1280">
        <v>1</v>
      </c>
      <c r="L1280">
        <v>0</v>
      </c>
      <c r="M1280">
        <v>0</v>
      </c>
      <c r="N1280">
        <v>1</v>
      </c>
      <c r="O1280">
        <v>1</v>
      </c>
      <c r="P1280">
        <v>0</v>
      </c>
    </row>
    <row r="1281" spans="1:16" x14ac:dyDescent="0.25">
      <c r="A1281" t="str">
        <f>"1277"</f>
        <v>1277</v>
      </c>
      <c r="B1281" t="str">
        <f t="shared" si="68"/>
        <v>102</v>
      </c>
      <c r="C1281" t="str">
        <f t="shared" si="71"/>
        <v>52</v>
      </c>
      <c r="D1281" t="str">
        <f>"11"</f>
        <v>11</v>
      </c>
      <c r="E1281" t="str">
        <f>"102-52-11"</f>
        <v>102-52-11</v>
      </c>
      <c r="F1281" t="s">
        <v>18</v>
      </c>
      <c r="G1281" t="s">
        <v>19</v>
      </c>
      <c r="H1281">
        <v>2</v>
      </c>
      <c r="I1281">
        <v>1</v>
      </c>
      <c r="J1281">
        <v>1</v>
      </c>
      <c r="K1281">
        <v>0</v>
      </c>
      <c r="L1281">
        <v>1</v>
      </c>
      <c r="M1281">
        <v>0</v>
      </c>
      <c r="N1281">
        <v>1</v>
      </c>
      <c r="O1281">
        <v>1</v>
      </c>
      <c r="P1281">
        <v>0</v>
      </c>
    </row>
    <row r="1282" spans="1:16" x14ac:dyDescent="0.25">
      <c r="A1282" t="str">
        <f>"1278"</f>
        <v>1278</v>
      </c>
      <c r="B1282" t="str">
        <f t="shared" si="68"/>
        <v>102</v>
      </c>
      <c r="C1282" t="str">
        <f t="shared" si="71"/>
        <v>52</v>
      </c>
      <c r="D1282" t="str">
        <f>"1"</f>
        <v>1</v>
      </c>
      <c r="E1282" t="str">
        <f>"102-52-1"</f>
        <v>102-52-1</v>
      </c>
      <c r="F1282" t="s">
        <v>18</v>
      </c>
      <c r="G1282" t="s">
        <v>20</v>
      </c>
      <c r="H1282">
        <v>1</v>
      </c>
      <c r="K1282">
        <v>0</v>
      </c>
      <c r="L1282">
        <v>1</v>
      </c>
      <c r="M1282">
        <v>0</v>
      </c>
      <c r="N1282">
        <v>1</v>
      </c>
    </row>
    <row r="1283" spans="1:16" x14ac:dyDescent="0.25">
      <c r="A1283" t="str">
        <f>"1279"</f>
        <v>1279</v>
      </c>
      <c r="B1283" t="str">
        <f t="shared" si="68"/>
        <v>102</v>
      </c>
      <c r="C1283" t="str">
        <f t="shared" si="71"/>
        <v>52</v>
      </c>
      <c r="D1283" t="str">
        <f>"21"</f>
        <v>21</v>
      </c>
      <c r="E1283" t="str">
        <f>"102-52-21"</f>
        <v>102-52-21</v>
      </c>
      <c r="F1283" t="s">
        <v>18</v>
      </c>
      <c r="G1283" t="s">
        <v>19</v>
      </c>
      <c r="H1283">
        <v>2</v>
      </c>
      <c r="I1283">
        <v>1</v>
      </c>
      <c r="J1283">
        <v>1</v>
      </c>
      <c r="K1283">
        <v>1</v>
      </c>
      <c r="L1283">
        <v>0</v>
      </c>
      <c r="M1283">
        <v>1</v>
      </c>
      <c r="N1283">
        <v>0</v>
      </c>
      <c r="O1283">
        <v>1</v>
      </c>
      <c r="P1283">
        <v>0</v>
      </c>
    </row>
    <row r="1284" spans="1:16" x14ac:dyDescent="0.25">
      <c r="A1284" t="str">
        <f>"1280"</f>
        <v>1280</v>
      </c>
      <c r="B1284" t="str">
        <f t="shared" si="68"/>
        <v>102</v>
      </c>
      <c r="C1284" t="str">
        <f t="shared" si="71"/>
        <v>52</v>
      </c>
      <c r="D1284" t="str">
        <f>"12"</f>
        <v>12</v>
      </c>
      <c r="E1284" t="str">
        <f>"102-52-12"</f>
        <v>102-52-12</v>
      </c>
      <c r="F1284" t="s">
        <v>18</v>
      </c>
      <c r="G1284" t="s">
        <v>19</v>
      </c>
      <c r="H1284">
        <v>2</v>
      </c>
      <c r="I1284">
        <v>0</v>
      </c>
      <c r="J1284">
        <v>0</v>
      </c>
      <c r="K1284">
        <v>0</v>
      </c>
      <c r="L1284">
        <v>1</v>
      </c>
      <c r="M1284">
        <v>0</v>
      </c>
      <c r="N1284">
        <v>1</v>
      </c>
      <c r="O1284">
        <v>1</v>
      </c>
      <c r="P1284">
        <v>0</v>
      </c>
    </row>
    <row r="1285" spans="1:16" x14ac:dyDescent="0.25">
      <c r="A1285" t="str">
        <f>"1281"</f>
        <v>1281</v>
      </c>
      <c r="B1285" t="str">
        <f t="shared" ref="B1285:B1344" si="72">"102"</f>
        <v>102</v>
      </c>
      <c r="C1285" t="str">
        <f t="shared" si="71"/>
        <v>52</v>
      </c>
      <c r="D1285" t="str">
        <f>"6"</f>
        <v>6</v>
      </c>
      <c r="E1285" t="str">
        <f>"102-52-6"</f>
        <v>102-52-6</v>
      </c>
      <c r="F1285" t="s">
        <v>18</v>
      </c>
      <c r="G1285" t="s">
        <v>20</v>
      </c>
      <c r="H1285">
        <v>1</v>
      </c>
      <c r="K1285">
        <v>1</v>
      </c>
      <c r="L1285">
        <v>0</v>
      </c>
      <c r="M1285">
        <v>1</v>
      </c>
      <c r="N1285">
        <v>0</v>
      </c>
    </row>
    <row r="1286" spans="1:16" x14ac:dyDescent="0.25">
      <c r="A1286" t="str">
        <f>"1282"</f>
        <v>1282</v>
      </c>
      <c r="B1286" t="str">
        <f t="shared" si="72"/>
        <v>102</v>
      </c>
      <c r="C1286" t="str">
        <f t="shared" si="71"/>
        <v>52</v>
      </c>
      <c r="D1286" t="str">
        <f>"22"</f>
        <v>22</v>
      </c>
      <c r="E1286" t="str">
        <f>"102-52-22"</f>
        <v>102-52-22</v>
      </c>
      <c r="F1286" t="s">
        <v>18</v>
      </c>
      <c r="G1286" t="s">
        <v>19</v>
      </c>
      <c r="H1286">
        <v>2</v>
      </c>
      <c r="I1286">
        <v>1</v>
      </c>
      <c r="J1286">
        <v>1</v>
      </c>
      <c r="K1286">
        <v>1</v>
      </c>
      <c r="L1286">
        <v>0</v>
      </c>
      <c r="M1286">
        <v>1</v>
      </c>
      <c r="N1286">
        <v>0</v>
      </c>
      <c r="O1286">
        <v>1</v>
      </c>
      <c r="P1286">
        <v>0</v>
      </c>
    </row>
    <row r="1287" spans="1:16" x14ac:dyDescent="0.25">
      <c r="A1287" t="str">
        <f>"1283"</f>
        <v>1283</v>
      </c>
      <c r="B1287" t="str">
        <f t="shared" si="72"/>
        <v>102</v>
      </c>
      <c r="C1287" t="str">
        <f t="shared" si="71"/>
        <v>52</v>
      </c>
      <c r="D1287" t="str">
        <f>"13"</f>
        <v>13</v>
      </c>
      <c r="E1287" t="str">
        <f>"102-52-13"</f>
        <v>102-52-13</v>
      </c>
      <c r="F1287" t="s">
        <v>18</v>
      </c>
      <c r="G1287" t="s">
        <v>19</v>
      </c>
      <c r="H1287">
        <v>2</v>
      </c>
      <c r="I1287">
        <v>0</v>
      </c>
      <c r="J1287">
        <v>1</v>
      </c>
      <c r="K1287">
        <v>1</v>
      </c>
      <c r="L1287">
        <v>0</v>
      </c>
      <c r="M1287">
        <v>0</v>
      </c>
      <c r="N1287">
        <v>1</v>
      </c>
      <c r="O1287">
        <v>0</v>
      </c>
      <c r="P1287">
        <v>1</v>
      </c>
    </row>
    <row r="1288" spans="1:16" x14ac:dyDescent="0.25">
      <c r="A1288" t="str">
        <f>"1284"</f>
        <v>1284</v>
      </c>
      <c r="B1288" t="str">
        <f t="shared" si="72"/>
        <v>102</v>
      </c>
      <c r="C1288" t="str">
        <f t="shared" si="71"/>
        <v>52</v>
      </c>
      <c r="D1288" t="str">
        <f>"7"</f>
        <v>7</v>
      </c>
      <c r="E1288" t="str">
        <f>"102-52-7"</f>
        <v>102-52-7</v>
      </c>
      <c r="F1288" t="s">
        <v>18</v>
      </c>
      <c r="G1288" t="s">
        <v>20</v>
      </c>
      <c r="H1288">
        <v>1</v>
      </c>
      <c r="K1288">
        <v>1</v>
      </c>
      <c r="L1288">
        <v>0</v>
      </c>
      <c r="M1288">
        <v>1</v>
      </c>
      <c r="N1288">
        <v>0</v>
      </c>
    </row>
    <row r="1289" spans="1:16" x14ac:dyDescent="0.25">
      <c r="A1289" t="str">
        <f>"1285"</f>
        <v>1285</v>
      </c>
      <c r="B1289" t="str">
        <f t="shared" si="72"/>
        <v>102</v>
      </c>
      <c r="C1289" t="str">
        <f t="shared" si="71"/>
        <v>52</v>
      </c>
      <c r="D1289" t="str">
        <f>"24"</f>
        <v>24</v>
      </c>
      <c r="E1289" t="str">
        <f>"102-52-24"</f>
        <v>102-52-24</v>
      </c>
      <c r="F1289" t="s">
        <v>18</v>
      </c>
      <c r="G1289" t="s">
        <v>19</v>
      </c>
      <c r="H1289">
        <v>2</v>
      </c>
      <c r="I1289">
        <v>1</v>
      </c>
      <c r="J1289">
        <v>1</v>
      </c>
      <c r="K1289">
        <v>1</v>
      </c>
      <c r="L1289">
        <v>0</v>
      </c>
      <c r="M1289">
        <v>0</v>
      </c>
      <c r="N1289">
        <v>1</v>
      </c>
      <c r="O1289">
        <v>1</v>
      </c>
      <c r="P1289">
        <v>0</v>
      </c>
    </row>
    <row r="1290" spans="1:16" x14ac:dyDescent="0.25">
      <c r="A1290" t="str">
        <f>"1286"</f>
        <v>1286</v>
      </c>
      <c r="B1290" t="str">
        <f t="shared" si="72"/>
        <v>102</v>
      </c>
      <c r="C1290" t="str">
        <f t="shared" si="71"/>
        <v>52</v>
      </c>
      <c r="D1290" t="str">
        <f>"14"</f>
        <v>14</v>
      </c>
      <c r="E1290" t="str">
        <f>"102-52-14"</f>
        <v>102-52-14</v>
      </c>
      <c r="F1290" t="s">
        <v>18</v>
      </c>
      <c r="G1290" t="s">
        <v>19</v>
      </c>
      <c r="H1290">
        <v>2</v>
      </c>
      <c r="I1290">
        <v>0</v>
      </c>
      <c r="J1290">
        <v>1</v>
      </c>
      <c r="K1290">
        <v>0</v>
      </c>
      <c r="L1290">
        <v>1</v>
      </c>
      <c r="M1290">
        <v>0</v>
      </c>
      <c r="N1290">
        <v>1</v>
      </c>
      <c r="O1290">
        <v>0</v>
      </c>
      <c r="P1290">
        <v>1</v>
      </c>
    </row>
    <row r="1291" spans="1:16" x14ac:dyDescent="0.25">
      <c r="A1291" t="str">
        <f>"1287"</f>
        <v>1287</v>
      </c>
      <c r="B1291" t="str">
        <f t="shared" si="72"/>
        <v>102</v>
      </c>
      <c r="C1291" t="str">
        <f t="shared" si="71"/>
        <v>52</v>
      </c>
      <c r="D1291" t="str">
        <f>"5"</f>
        <v>5</v>
      </c>
      <c r="E1291" t="str">
        <f>"102-52-5"</f>
        <v>102-52-5</v>
      </c>
      <c r="F1291" t="s">
        <v>18</v>
      </c>
      <c r="G1291" t="s">
        <v>20</v>
      </c>
      <c r="H1291">
        <v>1</v>
      </c>
      <c r="K1291">
        <v>0</v>
      </c>
      <c r="L1291">
        <v>1</v>
      </c>
      <c r="M1291">
        <v>0</v>
      </c>
      <c r="N1291">
        <v>1</v>
      </c>
    </row>
    <row r="1292" spans="1:16" x14ac:dyDescent="0.25">
      <c r="A1292" t="str">
        <f>"1288"</f>
        <v>1288</v>
      </c>
      <c r="B1292" t="str">
        <f t="shared" si="72"/>
        <v>102</v>
      </c>
      <c r="C1292" t="str">
        <f t="shared" si="71"/>
        <v>52</v>
      </c>
      <c r="D1292" t="str">
        <f>"15"</f>
        <v>15</v>
      </c>
      <c r="E1292" t="str">
        <f>"102-52-15"</f>
        <v>102-52-15</v>
      </c>
      <c r="F1292" t="s">
        <v>18</v>
      </c>
      <c r="G1292" t="s">
        <v>19</v>
      </c>
      <c r="H1292">
        <v>2</v>
      </c>
      <c r="I1292">
        <v>1</v>
      </c>
      <c r="J1292">
        <v>1</v>
      </c>
      <c r="K1292">
        <v>0</v>
      </c>
      <c r="L1292">
        <v>1</v>
      </c>
      <c r="M1292">
        <v>0</v>
      </c>
      <c r="N1292">
        <v>1</v>
      </c>
      <c r="O1292">
        <v>1</v>
      </c>
      <c r="P1292">
        <v>0</v>
      </c>
    </row>
    <row r="1293" spans="1:16" x14ac:dyDescent="0.25">
      <c r="A1293" t="str">
        <f>"1289"</f>
        <v>1289</v>
      </c>
      <c r="B1293" t="str">
        <f t="shared" si="72"/>
        <v>102</v>
      </c>
      <c r="C1293" t="str">
        <f t="shared" si="71"/>
        <v>52</v>
      </c>
      <c r="D1293" t="str">
        <f>"9"</f>
        <v>9</v>
      </c>
      <c r="E1293" t="str">
        <f>"102-52-9"</f>
        <v>102-52-9</v>
      </c>
      <c r="F1293" t="s">
        <v>18</v>
      </c>
      <c r="G1293" t="s">
        <v>20</v>
      </c>
      <c r="H1293">
        <v>1</v>
      </c>
      <c r="K1293">
        <v>1</v>
      </c>
      <c r="L1293">
        <v>0</v>
      </c>
      <c r="M1293">
        <v>1</v>
      </c>
      <c r="N1293">
        <v>0</v>
      </c>
    </row>
    <row r="1294" spans="1:16" x14ac:dyDescent="0.25">
      <c r="A1294" t="str">
        <f>"1290"</f>
        <v>1290</v>
      </c>
      <c r="B1294" t="str">
        <f t="shared" si="72"/>
        <v>102</v>
      </c>
      <c r="C1294" t="str">
        <f t="shared" si="71"/>
        <v>52</v>
      </c>
      <c r="D1294" t="str">
        <f>"25"</f>
        <v>25</v>
      </c>
      <c r="E1294" t="str">
        <f>"102-52-25"</f>
        <v>102-52-25</v>
      </c>
      <c r="F1294" t="s">
        <v>18</v>
      </c>
      <c r="G1294" t="s">
        <v>19</v>
      </c>
      <c r="H1294">
        <v>2</v>
      </c>
      <c r="I1294">
        <v>1</v>
      </c>
      <c r="J1294">
        <v>1</v>
      </c>
      <c r="K1294">
        <v>0</v>
      </c>
      <c r="L1294">
        <v>1</v>
      </c>
      <c r="M1294">
        <v>0</v>
      </c>
      <c r="N1294">
        <v>1</v>
      </c>
      <c r="O1294">
        <v>1</v>
      </c>
      <c r="P1294">
        <v>0</v>
      </c>
    </row>
    <row r="1295" spans="1:16" x14ac:dyDescent="0.25">
      <c r="A1295" t="str">
        <f>"1291"</f>
        <v>1291</v>
      </c>
      <c r="B1295" t="str">
        <f t="shared" si="72"/>
        <v>102</v>
      </c>
      <c r="C1295" t="str">
        <f t="shared" si="71"/>
        <v>52</v>
      </c>
      <c r="D1295" t="str">
        <f>"16"</f>
        <v>16</v>
      </c>
      <c r="E1295" t="str">
        <f>"102-52-16"</f>
        <v>102-52-16</v>
      </c>
      <c r="F1295" t="s">
        <v>18</v>
      </c>
      <c r="G1295" t="s">
        <v>19</v>
      </c>
      <c r="H1295">
        <v>2</v>
      </c>
      <c r="I1295">
        <v>1</v>
      </c>
      <c r="J1295">
        <v>1</v>
      </c>
      <c r="K1295">
        <v>0</v>
      </c>
      <c r="L1295">
        <v>1</v>
      </c>
      <c r="M1295">
        <v>0</v>
      </c>
      <c r="N1295">
        <v>1</v>
      </c>
      <c r="O1295">
        <v>1</v>
      </c>
      <c r="P1295">
        <v>0</v>
      </c>
    </row>
    <row r="1296" spans="1:16" x14ac:dyDescent="0.25">
      <c r="A1296" t="str">
        <f>"1292"</f>
        <v>1292</v>
      </c>
      <c r="B1296" t="str">
        <f t="shared" si="72"/>
        <v>102</v>
      </c>
      <c r="C1296" t="str">
        <f t="shared" si="71"/>
        <v>52</v>
      </c>
      <c r="D1296" t="str">
        <f>"8"</f>
        <v>8</v>
      </c>
      <c r="E1296" t="str">
        <f>"102-52-8"</f>
        <v>102-52-8</v>
      </c>
      <c r="F1296" t="s">
        <v>18</v>
      </c>
      <c r="G1296" t="s">
        <v>20</v>
      </c>
      <c r="H1296">
        <v>1</v>
      </c>
      <c r="K1296">
        <v>1</v>
      </c>
      <c r="L1296">
        <v>0</v>
      </c>
      <c r="M1296">
        <v>1</v>
      </c>
      <c r="N1296">
        <v>0</v>
      </c>
    </row>
    <row r="1297" spans="1:16" x14ac:dyDescent="0.25">
      <c r="A1297" t="str">
        <f>"1293"</f>
        <v>1293</v>
      </c>
      <c r="B1297" t="str">
        <f t="shared" si="72"/>
        <v>102</v>
      </c>
      <c r="C1297" t="str">
        <f t="shared" si="71"/>
        <v>52</v>
      </c>
      <c r="D1297" t="str">
        <f>"17"</f>
        <v>17</v>
      </c>
      <c r="E1297" t="str">
        <f>"102-52-17"</f>
        <v>102-52-17</v>
      </c>
      <c r="F1297" t="s">
        <v>18</v>
      </c>
      <c r="G1297" t="s">
        <v>19</v>
      </c>
      <c r="H1297">
        <v>2</v>
      </c>
      <c r="I1297">
        <v>1</v>
      </c>
      <c r="J1297">
        <v>1</v>
      </c>
      <c r="K1297">
        <v>0</v>
      </c>
      <c r="L1297">
        <v>1</v>
      </c>
      <c r="M1297">
        <v>0</v>
      </c>
      <c r="N1297">
        <v>1</v>
      </c>
      <c r="O1297">
        <v>1</v>
      </c>
      <c r="P1297">
        <v>0</v>
      </c>
    </row>
    <row r="1298" spans="1:16" x14ac:dyDescent="0.25">
      <c r="A1298" t="str">
        <f>"1294"</f>
        <v>1294</v>
      </c>
      <c r="B1298" t="str">
        <f t="shared" si="72"/>
        <v>102</v>
      </c>
      <c r="C1298" t="str">
        <f t="shared" si="71"/>
        <v>52</v>
      </c>
      <c r="D1298" t="str">
        <f>"3"</f>
        <v>3</v>
      </c>
      <c r="E1298" t="str">
        <f>"102-52-3"</f>
        <v>102-52-3</v>
      </c>
      <c r="F1298" t="s">
        <v>18</v>
      </c>
      <c r="G1298" t="s">
        <v>20</v>
      </c>
      <c r="H1298">
        <v>1</v>
      </c>
      <c r="K1298">
        <v>1</v>
      </c>
      <c r="L1298">
        <v>0</v>
      </c>
      <c r="M1298">
        <v>1</v>
      </c>
      <c r="N1298">
        <v>0</v>
      </c>
    </row>
    <row r="1299" spans="1:16" x14ac:dyDescent="0.25">
      <c r="A1299" t="str">
        <f>"1295"</f>
        <v>1295</v>
      </c>
      <c r="B1299" t="str">
        <f t="shared" si="72"/>
        <v>102</v>
      </c>
      <c r="C1299" t="str">
        <f t="shared" si="71"/>
        <v>52</v>
      </c>
      <c r="D1299" t="str">
        <f>"18"</f>
        <v>18</v>
      </c>
      <c r="E1299" t="str">
        <f>"102-52-18"</f>
        <v>102-52-18</v>
      </c>
      <c r="F1299" t="s">
        <v>18</v>
      </c>
      <c r="G1299" t="s">
        <v>19</v>
      </c>
      <c r="H1299">
        <v>2</v>
      </c>
      <c r="I1299">
        <v>0</v>
      </c>
      <c r="J1299">
        <v>0</v>
      </c>
      <c r="K1299">
        <v>0</v>
      </c>
      <c r="L1299">
        <v>1</v>
      </c>
      <c r="M1299">
        <v>0</v>
      </c>
      <c r="N1299">
        <v>1</v>
      </c>
      <c r="O1299">
        <v>1</v>
      </c>
      <c r="P1299">
        <v>0</v>
      </c>
    </row>
    <row r="1300" spans="1:16" x14ac:dyDescent="0.25">
      <c r="A1300" t="str">
        <f>"1296"</f>
        <v>1296</v>
      </c>
      <c r="B1300" t="str">
        <f t="shared" si="72"/>
        <v>102</v>
      </c>
      <c r="C1300" t="str">
        <f t="shared" si="71"/>
        <v>52</v>
      </c>
      <c r="D1300" t="str">
        <f>"2"</f>
        <v>2</v>
      </c>
      <c r="E1300" t="str">
        <f>"102-52-2"</f>
        <v>102-52-2</v>
      </c>
      <c r="F1300" t="s">
        <v>18</v>
      </c>
      <c r="G1300" t="s">
        <v>20</v>
      </c>
      <c r="H1300">
        <v>1</v>
      </c>
      <c r="K1300">
        <v>1</v>
      </c>
      <c r="L1300">
        <v>0</v>
      </c>
      <c r="M1300">
        <v>1</v>
      </c>
      <c r="N1300">
        <v>0</v>
      </c>
    </row>
    <row r="1301" spans="1:16" x14ac:dyDescent="0.25">
      <c r="A1301" t="str">
        <f>"1297"</f>
        <v>1297</v>
      </c>
      <c r="B1301" t="str">
        <f t="shared" si="72"/>
        <v>102</v>
      </c>
      <c r="C1301" t="str">
        <f t="shared" si="71"/>
        <v>52</v>
      </c>
      <c r="D1301" t="str">
        <f>"19"</f>
        <v>19</v>
      </c>
      <c r="E1301" t="str">
        <f>"102-52-19"</f>
        <v>102-52-19</v>
      </c>
      <c r="F1301" t="s">
        <v>18</v>
      </c>
      <c r="G1301" t="s">
        <v>19</v>
      </c>
      <c r="H1301">
        <v>2</v>
      </c>
      <c r="I1301">
        <v>0</v>
      </c>
      <c r="J1301">
        <v>1</v>
      </c>
      <c r="K1301">
        <v>0</v>
      </c>
      <c r="L1301">
        <v>1</v>
      </c>
      <c r="M1301">
        <v>0</v>
      </c>
      <c r="N1301">
        <v>1</v>
      </c>
      <c r="O1301">
        <v>1</v>
      </c>
      <c r="P1301">
        <v>0</v>
      </c>
    </row>
    <row r="1302" spans="1:16" x14ac:dyDescent="0.25">
      <c r="A1302" t="str">
        <f>"1298"</f>
        <v>1298</v>
      </c>
      <c r="B1302" t="str">
        <f t="shared" si="72"/>
        <v>102</v>
      </c>
      <c r="C1302" t="str">
        <f t="shared" si="71"/>
        <v>52</v>
      </c>
      <c r="D1302" t="str">
        <f>"10"</f>
        <v>10</v>
      </c>
      <c r="E1302" t="str">
        <f>"102-52-10"</f>
        <v>102-52-10</v>
      </c>
      <c r="F1302" t="s">
        <v>18</v>
      </c>
      <c r="G1302" t="s">
        <v>20</v>
      </c>
      <c r="H1302">
        <v>1</v>
      </c>
      <c r="K1302">
        <v>1</v>
      </c>
      <c r="L1302">
        <v>0</v>
      </c>
      <c r="M1302">
        <v>1</v>
      </c>
      <c r="N1302">
        <v>0</v>
      </c>
    </row>
    <row r="1303" spans="1:16" x14ac:dyDescent="0.25">
      <c r="A1303" t="str">
        <f>"1299"</f>
        <v>1299</v>
      </c>
      <c r="B1303" t="str">
        <f t="shared" si="72"/>
        <v>102</v>
      </c>
      <c r="C1303" t="str">
        <f t="shared" si="71"/>
        <v>52</v>
      </c>
      <c r="D1303" t="str">
        <f>"20"</f>
        <v>20</v>
      </c>
      <c r="E1303" t="str">
        <f>"102-52-20"</f>
        <v>102-52-20</v>
      </c>
      <c r="F1303" t="s">
        <v>18</v>
      </c>
      <c r="G1303" t="s">
        <v>19</v>
      </c>
      <c r="H1303">
        <v>2</v>
      </c>
      <c r="I1303">
        <v>1</v>
      </c>
      <c r="J1303">
        <v>1</v>
      </c>
      <c r="K1303">
        <v>0</v>
      </c>
      <c r="L1303">
        <v>1</v>
      </c>
      <c r="M1303">
        <v>0</v>
      </c>
      <c r="N1303">
        <v>1</v>
      </c>
      <c r="O1303">
        <v>1</v>
      </c>
      <c r="P1303">
        <v>0</v>
      </c>
    </row>
    <row r="1304" spans="1:16" x14ac:dyDescent="0.25">
      <c r="A1304" t="str">
        <f>"1300"</f>
        <v>1300</v>
      </c>
      <c r="B1304" t="str">
        <f t="shared" si="72"/>
        <v>102</v>
      </c>
      <c r="C1304" t="str">
        <f t="shared" si="71"/>
        <v>52</v>
      </c>
      <c r="D1304" t="str">
        <f>"4"</f>
        <v>4</v>
      </c>
      <c r="E1304" t="str">
        <f>"102-52-4"</f>
        <v>102-52-4</v>
      </c>
      <c r="F1304" t="s">
        <v>18</v>
      </c>
      <c r="G1304" t="s">
        <v>20</v>
      </c>
      <c r="H1304">
        <v>1</v>
      </c>
      <c r="K1304">
        <v>0</v>
      </c>
      <c r="L1304">
        <v>1</v>
      </c>
      <c r="M1304">
        <v>0</v>
      </c>
      <c r="N1304">
        <v>1</v>
      </c>
    </row>
    <row r="1305" spans="1:16" x14ac:dyDescent="0.25">
      <c r="A1305" t="str">
        <f>"1301"</f>
        <v>1301</v>
      </c>
      <c r="B1305" t="str">
        <f t="shared" si="72"/>
        <v>102</v>
      </c>
      <c r="C1305" t="str">
        <f t="shared" ref="C1305:C1315" si="73">"53"</f>
        <v>53</v>
      </c>
      <c r="D1305" t="str">
        <f>"11"</f>
        <v>11</v>
      </c>
      <c r="E1305" t="str">
        <f>"102-53-11"</f>
        <v>102-53-11</v>
      </c>
      <c r="F1305" t="s">
        <v>18</v>
      </c>
      <c r="G1305" t="s">
        <v>19</v>
      </c>
      <c r="H1305">
        <v>2</v>
      </c>
      <c r="I1305">
        <v>1</v>
      </c>
      <c r="J1305">
        <v>1</v>
      </c>
      <c r="K1305">
        <v>1</v>
      </c>
      <c r="L1305">
        <v>0</v>
      </c>
      <c r="M1305">
        <v>1</v>
      </c>
      <c r="N1305">
        <v>0</v>
      </c>
      <c r="O1305">
        <v>0</v>
      </c>
      <c r="P1305">
        <v>1</v>
      </c>
    </row>
    <row r="1306" spans="1:16" x14ac:dyDescent="0.25">
      <c r="A1306" t="str">
        <f>"1302"</f>
        <v>1302</v>
      </c>
      <c r="B1306" t="str">
        <f t="shared" si="72"/>
        <v>102</v>
      </c>
      <c r="C1306" t="str">
        <f t="shared" si="73"/>
        <v>53</v>
      </c>
      <c r="D1306" t="str">
        <f>"2"</f>
        <v>2</v>
      </c>
      <c r="E1306" t="str">
        <f>"102-53-2"</f>
        <v>102-53-2</v>
      </c>
      <c r="F1306" t="s">
        <v>18</v>
      </c>
      <c r="G1306" t="s">
        <v>19</v>
      </c>
      <c r="H1306">
        <v>2</v>
      </c>
      <c r="I1306">
        <v>0</v>
      </c>
      <c r="J1306">
        <v>1</v>
      </c>
      <c r="K1306">
        <v>0</v>
      </c>
      <c r="L1306">
        <v>1</v>
      </c>
      <c r="M1306">
        <v>0</v>
      </c>
      <c r="N1306">
        <v>1</v>
      </c>
      <c r="O1306">
        <v>1</v>
      </c>
      <c r="P1306">
        <v>0</v>
      </c>
    </row>
    <row r="1307" spans="1:16" x14ac:dyDescent="0.25">
      <c r="A1307" t="str">
        <f>"1303"</f>
        <v>1303</v>
      </c>
      <c r="B1307" t="str">
        <f t="shared" si="72"/>
        <v>102</v>
      </c>
      <c r="C1307" t="str">
        <f t="shared" si="73"/>
        <v>53</v>
      </c>
      <c r="D1307" t="str">
        <f>"3"</f>
        <v>3</v>
      </c>
      <c r="E1307" t="str">
        <f>"102-53-3"</f>
        <v>102-53-3</v>
      </c>
      <c r="F1307" t="s">
        <v>18</v>
      </c>
      <c r="G1307" t="s">
        <v>19</v>
      </c>
      <c r="H1307">
        <v>2</v>
      </c>
      <c r="I1307">
        <v>1</v>
      </c>
      <c r="J1307">
        <v>1</v>
      </c>
      <c r="K1307">
        <v>1</v>
      </c>
      <c r="L1307">
        <v>0</v>
      </c>
      <c r="M1307">
        <v>1</v>
      </c>
      <c r="N1307">
        <v>0</v>
      </c>
      <c r="O1307">
        <v>1</v>
      </c>
      <c r="P1307">
        <v>0</v>
      </c>
    </row>
    <row r="1308" spans="1:16" x14ac:dyDescent="0.25">
      <c r="A1308" t="str">
        <f>"1304"</f>
        <v>1304</v>
      </c>
      <c r="B1308" t="str">
        <f t="shared" si="72"/>
        <v>102</v>
      </c>
      <c r="C1308" t="str">
        <f t="shared" si="73"/>
        <v>53</v>
      </c>
      <c r="D1308" t="str">
        <f>"1"</f>
        <v>1</v>
      </c>
      <c r="E1308" t="str">
        <f>"102-53-1"</f>
        <v>102-53-1</v>
      </c>
      <c r="F1308" t="s">
        <v>18</v>
      </c>
      <c r="G1308" t="s">
        <v>19</v>
      </c>
      <c r="H1308">
        <v>2</v>
      </c>
      <c r="I1308">
        <v>0</v>
      </c>
      <c r="J1308">
        <v>1</v>
      </c>
      <c r="K1308">
        <v>1</v>
      </c>
      <c r="L1308">
        <v>0</v>
      </c>
      <c r="M1308">
        <v>0</v>
      </c>
      <c r="N1308">
        <v>1</v>
      </c>
      <c r="O1308">
        <v>1</v>
      </c>
      <c r="P1308">
        <v>0</v>
      </c>
    </row>
    <row r="1309" spans="1:16" x14ac:dyDescent="0.25">
      <c r="A1309" t="str">
        <f>"1305"</f>
        <v>1305</v>
      </c>
      <c r="B1309" t="str">
        <f t="shared" si="72"/>
        <v>102</v>
      </c>
      <c r="C1309" t="str">
        <f t="shared" si="73"/>
        <v>53</v>
      </c>
      <c r="D1309" t="str">
        <f>"8"</f>
        <v>8</v>
      </c>
      <c r="E1309" t="str">
        <f>"102-53-8"</f>
        <v>102-53-8</v>
      </c>
      <c r="F1309" t="s">
        <v>18</v>
      </c>
      <c r="G1309" t="s">
        <v>19</v>
      </c>
      <c r="H1309">
        <v>2</v>
      </c>
      <c r="I1309">
        <v>1</v>
      </c>
      <c r="J1309">
        <v>1</v>
      </c>
      <c r="K1309">
        <v>0</v>
      </c>
      <c r="L1309">
        <v>1</v>
      </c>
      <c r="M1309">
        <v>1</v>
      </c>
      <c r="N1309">
        <v>0</v>
      </c>
      <c r="O1309">
        <v>1</v>
      </c>
      <c r="P1309">
        <v>0</v>
      </c>
    </row>
    <row r="1310" spans="1:16" x14ac:dyDescent="0.25">
      <c r="A1310" t="str">
        <f>"1306"</f>
        <v>1306</v>
      </c>
      <c r="B1310" t="str">
        <f t="shared" si="72"/>
        <v>102</v>
      </c>
      <c r="C1310" t="str">
        <f t="shared" si="73"/>
        <v>53</v>
      </c>
      <c r="D1310" t="str">
        <f>"10"</f>
        <v>10</v>
      </c>
      <c r="E1310" t="str">
        <f>"102-53-10"</f>
        <v>102-53-10</v>
      </c>
      <c r="F1310" t="s">
        <v>18</v>
      </c>
      <c r="G1310" t="s">
        <v>19</v>
      </c>
      <c r="H1310">
        <v>2</v>
      </c>
      <c r="I1310">
        <v>1</v>
      </c>
      <c r="J1310">
        <v>1</v>
      </c>
      <c r="K1310">
        <v>0</v>
      </c>
      <c r="L1310">
        <v>1</v>
      </c>
      <c r="M1310">
        <v>0</v>
      </c>
      <c r="N1310">
        <v>1</v>
      </c>
      <c r="O1310">
        <v>0</v>
      </c>
      <c r="P1310">
        <v>1</v>
      </c>
    </row>
    <row r="1311" spans="1:16" x14ac:dyDescent="0.25">
      <c r="A1311" t="str">
        <f>"1307"</f>
        <v>1307</v>
      </c>
      <c r="B1311" t="str">
        <f t="shared" si="72"/>
        <v>102</v>
      </c>
      <c r="C1311" t="str">
        <f t="shared" si="73"/>
        <v>53</v>
      </c>
      <c r="D1311" t="str">
        <f>"9"</f>
        <v>9</v>
      </c>
      <c r="E1311" t="str">
        <f>"102-53-9"</f>
        <v>102-53-9</v>
      </c>
      <c r="F1311" t="s">
        <v>18</v>
      </c>
      <c r="G1311" t="s">
        <v>19</v>
      </c>
      <c r="H1311">
        <v>2</v>
      </c>
      <c r="I1311">
        <v>1</v>
      </c>
      <c r="J1311">
        <v>1</v>
      </c>
      <c r="K1311">
        <v>0</v>
      </c>
      <c r="L1311">
        <v>1</v>
      </c>
      <c r="M1311">
        <v>1</v>
      </c>
      <c r="N1311">
        <v>0</v>
      </c>
      <c r="O1311">
        <v>1</v>
      </c>
      <c r="P1311">
        <v>0</v>
      </c>
    </row>
    <row r="1312" spans="1:16" x14ac:dyDescent="0.25">
      <c r="A1312" t="str">
        <f>"1308"</f>
        <v>1308</v>
      </c>
      <c r="B1312" t="str">
        <f t="shared" si="72"/>
        <v>102</v>
      </c>
      <c r="C1312" t="str">
        <f t="shared" si="73"/>
        <v>53</v>
      </c>
      <c r="D1312" t="str">
        <f>"5"</f>
        <v>5</v>
      </c>
      <c r="E1312" t="str">
        <f>"102-53-5"</f>
        <v>102-53-5</v>
      </c>
      <c r="F1312" t="s">
        <v>18</v>
      </c>
      <c r="G1312" t="s">
        <v>19</v>
      </c>
      <c r="H1312">
        <v>2</v>
      </c>
      <c r="I1312">
        <v>0</v>
      </c>
      <c r="J1312">
        <v>1</v>
      </c>
      <c r="K1312">
        <v>0</v>
      </c>
      <c r="L1312">
        <v>1</v>
      </c>
      <c r="M1312">
        <v>0</v>
      </c>
      <c r="N1312">
        <v>1</v>
      </c>
      <c r="O1312">
        <v>0</v>
      </c>
      <c r="P1312">
        <v>1</v>
      </c>
    </row>
    <row r="1313" spans="1:16" x14ac:dyDescent="0.25">
      <c r="A1313" t="str">
        <f>"1309"</f>
        <v>1309</v>
      </c>
      <c r="B1313" t="str">
        <f t="shared" si="72"/>
        <v>102</v>
      </c>
      <c r="C1313" t="str">
        <f t="shared" si="73"/>
        <v>53</v>
      </c>
      <c r="D1313" t="str">
        <f>"6"</f>
        <v>6</v>
      </c>
      <c r="E1313" t="str">
        <f>"102-53-6"</f>
        <v>102-53-6</v>
      </c>
      <c r="F1313" t="s">
        <v>18</v>
      </c>
      <c r="G1313" t="s">
        <v>19</v>
      </c>
      <c r="H1313">
        <v>2</v>
      </c>
      <c r="I1313">
        <v>0</v>
      </c>
      <c r="J1313">
        <v>0</v>
      </c>
      <c r="K1313">
        <v>1</v>
      </c>
      <c r="L1313">
        <v>0</v>
      </c>
      <c r="M1313">
        <v>1</v>
      </c>
      <c r="N1313">
        <v>0</v>
      </c>
      <c r="O1313">
        <v>1</v>
      </c>
      <c r="P1313">
        <v>0</v>
      </c>
    </row>
    <row r="1314" spans="1:16" x14ac:dyDescent="0.25">
      <c r="A1314" t="str">
        <f>"1310"</f>
        <v>1310</v>
      </c>
      <c r="B1314" t="str">
        <f t="shared" si="72"/>
        <v>102</v>
      </c>
      <c r="C1314" t="str">
        <f t="shared" si="73"/>
        <v>53</v>
      </c>
      <c r="D1314" t="str">
        <f>"7"</f>
        <v>7</v>
      </c>
      <c r="E1314" t="str">
        <f>"102-53-7"</f>
        <v>102-53-7</v>
      </c>
      <c r="F1314" t="s">
        <v>18</v>
      </c>
      <c r="G1314" t="s">
        <v>19</v>
      </c>
      <c r="H1314">
        <v>2</v>
      </c>
      <c r="I1314">
        <v>1</v>
      </c>
      <c r="J1314">
        <v>1</v>
      </c>
      <c r="K1314">
        <v>1</v>
      </c>
      <c r="L1314">
        <v>0</v>
      </c>
      <c r="M1314">
        <v>0</v>
      </c>
      <c r="N1314">
        <v>1</v>
      </c>
      <c r="O1314">
        <v>1</v>
      </c>
      <c r="P1314">
        <v>0</v>
      </c>
    </row>
    <row r="1315" spans="1:16" x14ac:dyDescent="0.25">
      <c r="A1315" t="str">
        <f>"1311"</f>
        <v>1311</v>
      </c>
      <c r="B1315" t="str">
        <f t="shared" si="72"/>
        <v>102</v>
      </c>
      <c r="C1315" t="str">
        <f t="shared" si="73"/>
        <v>53</v>
      </c>
      <c r="D1315" t="str">
        <f>"4"</f>
        <v>4</v>
      </c>
      <c r="E1315" t="str">
        <f>"102-53-4"</f>
        <v>102-53-4</v>
      </c>
      <c r="F1315" t="s">
        <v>18</v>
      </c>
      <c r="G1315" t="s">
        <v>19</v>
      </c>
      <c r="H1315">
        <v>2</v>
      </c>
      <c r="I1315">
        <v>1</v>
      </c>
      <c r="J1315">
        <v>1</v>
      </c>
      <c r="K1315">
        <v>0</v>
      </c>
      <c r="L1315">
        <v>1</v>
      </c>
      <c r="M1315">
        <v>0</v>
      </c>
      <c r="N1315">
        <v>1</v>
      </c>
      <c r="O1315">
        <v>1</v>
      </c>
      <c r="P1315">
        <v>0</v>
      </c>
    </row>
    <row r="1316" spans="1:16" x14ac:dyDescent="0.25">
      <c r="A1316" t="str">
        <f>"1312"</f>
        <v>1312</v>
      </c>
      <c r="B1316" t="str">
        <f t="shared" si="72"/>
        <v>102</v>
      </c>
      <c r="C1316" t="str">
        <f t="shared" ref="C1316:C1344" si="74">"54"</f>
        <v>54</v>
      </c>
      <c r="D1316" t="str">
        <f>"25"</f>
        <v>25</v>
      </c>
      <c r="E1316" t="str">
        <f>"102-54-25"</f>
        <v>102-54-25</v>
      </c>
      <c r="F1316" t="s">
        <v>18</v>
      </c>
      <c r="G1316" t="s">
        <v>20</v>
      </c>
      <c r="H1316">
        <v>1</v>
      </c>
      <c r="K1316">
        <v>0</v>
      </c>
      <c r="L1316">
        <v>1</v>
      </c>
      <c r="M1316">
        <v>0</v>
      </c>
      <c r="N1316">
        <v>1</v>
      </c>
    </row>
    <row r="1317" spans="1:16" x14ac:dyDescent="0.25">
      <c r="A1317" t="str">
        <f>"1313"</f>
        <v>1313</v>
      </c>
      <c r="B1317" t="str">
        <f t="shared" si="72"/>
        <v>102</v>
      </c>
      <c r="C1317" t="str">
        <f t="shared" si="74"/>
        <v>54</v>
      </c>
      <c r="D1317" t="str">
        <f>"24"</f>
        <v>24</v>
      </c>
      <c r="E1317" t="str">
        <f>"102-54-24"</f>
        <v>102-54-24</v>
      </c>
      <c r="F1317" t="s">
        <v>18</v>
      </c>
      <c r="G1317" t="s">
        <v>20</v>
      </c>
      <c r="H1317">
        <v>1</v>
      </c>
      <c r="K1317">
        <v>1</v>
      </c>
      <c r="L1317">
        <v>0</v>
      </c>
      <c r="M1317">
        <v>0</v>
      </c>
      <c r="N1317">
        <v>1</v>
      </c>
    </row>
    <row r="1318" spans="1:16" x14ac:dyDescent="0.25">
      <c r="A1318" t="str">
        <f>"1314"</f>
        <v>1314</v>
      </c>
      <c r="B1318" t="str">
        <f t="shared" si="72"/>
        <v>102</v>
      </c>
      <c r="C1318" t="str">
        <f t="shared" si="74"/>
        <v>54</v>
      </c>
      <c r="D1318" t="str">
        <f>"21"</f>
        <v>21</v>
      </c>
      <c r="E1318" t="str">
        <f>"102-54-21"</f>
        <v>102-54-21</v>
      </c>
      <c r="F1318" t="s">
        <v>18</v>
      </c>
      <c r="G1318" t="s">
        <v>19</v>
      </c>
      <c r="H1318">
        <v>2</v>
      </c>
      <c r="I1318">
        <v>0</v>
      </c>
      <c r="J1318">
        <v>0</v>
      </c>
      <c r="K1318">
        <v>1</v>
      </c>
      <c r="L1318">
        <v>0</v>
      </c>
      <c r="M1318">
        <v>1</v>
      </c>
      <c r="N1318">
        <v>0</v>
      </c>
      <c r="O1318">
        <v>0</v>
      </c>
      <c r="P1318">
        <v>1</v>
      </c>
    </row>
    <row r="1319" spans="1:16" x14ac:dyDescent="0.25">
      <c r="A1319" t="str">
        <f>"1315"</f>
        <v>1315</v>
      </c>
      <c r="B1319" t="str">
        <f t="shared" si="72"/>
        <v>102</v>
      </c>
      <c r="C1319" t="str">
        <f t="shared" si="74"/>
        <v>54</v>
      </c>
      <c r="D1319" t="str">
        <f>"11"</f>
        <v>11</v>
      </c>
      <c r="E1319" t="str">
        <f>"102-54-11"</f>
        <v>102-54-11</v>
      </c>
      <c r="F1319" t="s">
        <v>18</v>
      </c>
      <c r="G1319" t="s">
        <v>19</v>
      </c>
      <c r="H1319">
        <v>2</v>
      </c>
      <c r="I1319">
        <v>1</v>
      </c>
      <c r="J1319">
        <v>1</v>
      </c>
      <c r="K1319">
        <v>1</v>
      </c>
      <c r="L1319">
        <v>0</v>
      </c>
      <c r="M1319">
        <v>0</v>
      </c>
      <c r="N1319">
        <v>1</v>
      </c>
      <c r="O1319">
        <v>1</v>
      </c>
      <c r="P1319">
        <v>0</v>
      </c>
    </row>
    <row r="1320" spans="1:16" x14ac:dyDescent="0.25">
      <c r="A1320" t="str">
        <f>"1316"</f>
        <v>1316</v>
      </c>
      <c r="B1320" t="str">
        <f t="shared" si="72"/>
        <v>102</v>
      </c>
      <c r="C1320" t="str">
        <f t="shared" si="74"/>
        <v>54</v>
      </c>
      <c r="D1320" t="str">
        <f>"2"</f>
        <v>2</v>
      </c>
      <c r="E1320" t="str">
        <f>"102-54-2"</f>
        <v>102-54-2</v>
      </c>
      <c r="F1320" t="s">
        <v>18</v>
      </c>
      <c r="G1320" t="s">
        <v>19</v>
      </c>
      <c r="H1320">
        <v>2</v>
      </c>
      <c r="I1320">
        <v>0</v>
      </c>
      <c r="J1320">
        <v>0</v>
      </c>
      <c r="K1320">
        <v>0</v>
      </c>
      <c r="L1320">
        <v>1</v>
      </c>
      <c r="M1320">
        <v>0</v>
      </c>
      <c r="N1320">
        <v>1</v>
      </c>
      <c r="O1320">
        <v>0</v>
      </c>
      <c r="P1320">
        <v>1</v>
      </c>
    </row>
    <row r="1321" spans="1:16" x14ac:dyDescent="0.25">
      <c r="A1321" t="str">
        <f>"1317"</f>
        <v>1317</v>
      </c>
      <c r="B1321" t="str">
        <f t="shared" si="72"/>
        <v>102</v>
      </c>
      <c r="C1321" t="str">
        <f t="shared" si="74"/>
        <v>54</v>
      </c>
      <c r="D1321" t="str">
        <f>"23"</f>
        <v>23</v>
      </c>
      <c r="E1321" t="str">
        <f>"102-54-23"</f>
        <v>102-54-23</v>
      </c>
      <c r="F1321" t="s">
        <v>18</v>
      </c>
      <c r="G1321" t="s">
        <v>19</v>
      </c>
      <c r="H1321">
        <v>2</v>
      </c>
      <c r="I1321">
        <v>0</v>
      </c>
      <c r="J1321">
        <v>1</v>
      </c>
      <c r="K1321">
        <v>0</v>
      </c>
      <c r="L1321">
        <v>1</v>
      </c>
      <c r="M1321">
        <v>0</v>
      </c>
      <c r="N1321">
        <v>1</v>
      </c>
      <c r="O1321">
        <v>1</v>
      </c>
      <c r="P1321">
        <v>0</v>
      </c>
    </row>
    <row r="1322" spans="1:16" x14ac:dyDescent="0.25">
      <c r="A1322" t="str">
        <f>"1318"</f>
        <v>1318</v>
      </c>
      <c r="B1322" t="str">
        <f t="shared" si="72"/>
        <v>102</v>
      </c>
      <c r="C1322" t="str">
        <f t="shared" si="74"/>
        <v>54</v>
      </c>
      <c r="D1322" t="str">
        <f>"12"</f>
        <v>12</v>
      </c>
      <c r="E1322" t="str">
        <f>"102-54-12"</f>
        <v>102-54-12</v>
      </c>
      <c r="F1322" t="s">
        <v>18</v>
      </c>
      <c r="G1322" t="s">
        <v>19</v>
      </c>
      <c r="H1322">
        <v>2</v>
      </c>
      <c r="I1322">
        <v>1</v>
      </c>
      <c r="J1322">
        <v>1</v>
      </c>
      <c r="K1322">
        <v>0</v>
      </c>
      <c r="L1322">
        <v>1</v>
      </c>
      <c r="M1322">
        <v>0</v>
      </c>
      <c r="N1322">
        <v>1</v>
      </c>
      <c r="O1322">
        <v>1</v>
      </c>
      <c r="P1322">
        <v>0</v>
      </c>
    </row>
    <row r="1323" spans="1:16" x14ac:dyDescent="0.25">
      <c r="A1323" t="str">
        <f>"1319"</f>
        <v>1319</v>
      </c>
      <c r="B1323" t="str">
        <f t="shared" si="72"/>
        <v>102</v>
      </c>
      <c r="C1323" t="str">
        <f t="shared" si="74"/>
        <v>54</v>
      </c>
      <c r="D1323" t="str">
        <f>"1"</f>
        <v>1</v>
      </c>
      <c r="E1323" t="str">
        <f>"102-54-1"</f>
        <v>102-54-1</v>
      </c>
      <c r="F1323" t="s">
        <v>18</v>
      </c>
      <c r="G1323" t="s">
        <v>19</v>
      </c>
      <c r="H1323">
        <v>2</v>
      </c>
      <c r="I1323">
        <v>0</v>
      </c>
      <c r="J1323">
        <v>0</v>
      </c>
      <c r="K1323">
        <v>0</v>
      </c>
      <c r="L1323">
        <v>1</v>
      </c>
      <c r="M1323">
        <v>0</v>
      </c>
      <c r="N1323">
        <v>1</v>
      </c>
      <c r="O1323">
        <v>0</v>
      </c>
      <c r="P1323">
        <v>1</v>
      </c>
    </row>
    <row r="1324" spans="1:16" x14ac:dyDescent="0.25">
      <c r="A1324" t="str">
        <f>"1320"</f>
        <v>1320</v>
      </c>
      <c r="B1324" t="str">
        <f t="shared" si="72"/>
        <v>102</v>
      </c>
      <c r="C1324" t="str">
        <f t="shared" si="74"/>
        <v>54</v>
      </c>
      <c r="D1324" t="str">
        <f>"22"</f>
        <v>22</v>
      </c>
      <c r="E1324" t="str">
        <f>"102-54-22"</f>
        <v>102-54-22</v>
      </c>
      <c r="F1324" t="s">
        <v>18</v>
      </c>
      <c r="G1324" t="s">
        <v>19</v>
      </c>
      <c r="H1324">
        <v>2</v>
      </c>
      <c r="I1324">
        <v>1</v>
      </c>
      <c r="J1324">
        <v>1</v>
      </c>
      <c r="K1324">
        <v>0</v>
      </c>
      <c r="L1324">
        <v>1</v>
      </c>
      <c r="M1324">
        <v>0</v>
      </c>
      <c r="N1324">
        <v>1</v>
      </c>
      <c r="O1324">
        <v>1</v>
      </c>
      <c r="P1324">
        <v>0</v>
      </c>
    </row>
    <row r="1325" spans="1:16" x14ac:dyDescent="0.25">
      <c r="A1325" t="str">
        <f>"1321"</f>
        <v>1321</v>
      </c>
      <c r="B1325" t="str">
        <f t="shared" si="72"/>
        <v>102</v>
      </c>
      <c r="C1325" t="str">
        <f t="shared" si="74"/>
        <v>54</v>
      </c>
      <c r="D1325" t="str">
        <f>"13"</f>
        <v>13</v>
      </c>
      <c r="E1325" t="str">
        <f>"102-54-13"</f>
        <v>102-54-13</v>
      </c>
      <c r="F1325" t="s">
        <v>18</v>
      </c>
      <c r="G1325" t="s">
        <v>19</v>
      </c>
      <c r="H1325">
        <v>2</v>
      </c>
      <c r="I1325">
        <v>1</v>
      </c>
      <c r="J1325">
        <v>1</v>
      </c>
      <c r="K1325">
        <v>0</v>
      </c>
      <c r="L1325">
        <v>1</v>
      </c>
      <c r="M1325">
        <v>0</v>
      </c>
      <c r="N1325">
        <v>1</v>
      </c>
      <c r="O1325">
        <v>1</v>
      </c>
      <c r="P1325">
        <v>0</v>
      </c>
    </row>
    <row r="1326" spans="1:16" x14ac:dyDescent="0.25">
      <c r="A1326" t="str">
        <f>"1322"</f>
        <v>1322</v>
      </c>
      <c r="B1326" t="str">
        <f t="shared" si="72"/>
        <v>102</v>
      </c>
      <c r="C1326" t="str">
        <f t="shared" si="74"/>
        <v>54</v>
      </c>
      <c r="D1326" t="str">
        <f>"7"</f>
        <v>7</v>
      </c>
      <c r="E1326" t="str">
        <f>"102-54-7"</f>
        <v>102-54-7</v>
      </c>
      <c r="F1326" t="s">
        <v>18</v>
      </c>
      <c r="G1326" t="s">
        <v>19</v>
      </c>
      <c r="H1326">
        <v>2</v>
      </c>
      <c r="I1326">
        <v>1</v>
      </c>
      <c r="J1326">
        <v>1</v>
      </c>
      <c r="K1326">
        <v>0</v>
      </c>
      <c r="L1326">
        <v>1</v>
      </c>
      <c r="M1326">
        <v>0</v>
      </c>
      <c r="N1326">
        <v>1</v>
      </c>
      <c r="O1326">
        <v>0</v>
      </c>
      <c r="P1326">
        <v>1</v>
      </c>
    </row>
    <row r="1327" spans="1:16" x14ac:dyDescent="0.25">
      <c r="A1327" t="str">
        <f>"1323"</f>
        <v>1323</v>
      </c>
      <c r="B1327" t="str">
        <f t="shared" si="72"/>
        <v>102</v>
      </c>
      <c r="C1327" t="str">
        <f t="shared" si="74"/>
        <v>54</v>
      </c>
      <c r="D1327" t="str">
        <f>"26"</f>
        <v>26</v>
      </c>
      <c r="E1327" t="str">
        <f>"102-54-26"</f>
        <v>102-54-26</v>
      </c>
      <c r="F1327" t="s">
        <v>18</v>
      </c>
      <c r="G1327" t="s">
        <v>20</v>
      </c>
      <c r="H1327">
        <v>1</v>
      </c>
      <c r="K1327">
        <v>0</v>
      </c>
      <c r="L1327">
        <v>1</v>
      </c>
      <c r="M1327">
        <v>0</v>
      </c>
      <c r="N1327">
        <v>1</v>
      </c>
    </row>
    <row r="1328" spans="1:16" x14ac:dyDescent="0.25">
      <c r="A1328" t="str">
        <f>"1324"</f>
        <v>1324</v>
      </c>
      <c r="B1328" t="str">
        <f t="shared" si="72"/>
        <v>102</v>
      </c>
      <c r="C1328" t="str">
        <f t="shared" si="74"/>
        <v>54</v>
      </c>
      <c r="D1328" t="str">
        <f>"14"</f>
        <v>14</v>
      </c>
      <c r="E1328" t="str">
        <f>"102-54-14"</f>
        <v>102-54-14</v>
      </c>
      <c r="F1328" t="s">
        <v>18</v>
      </c>
      <c r="G1328" t="s">
        <v>19</v>
      </c>
      <c r="H1328">
        <v>2</v>
      </c>
      <c r="I1328">
        <v>0</v>
      </c>
      <c r="J1328">
        <v>0</v>
      </c>
      <c r="K1328">
        <v>1</v>
      </c>
      <c r="L1328">
        <v>0</v>
      </c>
      <c r="M1328">
        <v>1</v>
      </c>
      <c r="N1328">
        <v>0</v>
      </c>
      <c r="O1328">
        <v>1</v>
      </c>
      <c r="P1328">
        <v>0</v>
      </c>
    </row>
    <row r="1329" spans="1:16" x14ac:dyDescent="0.25">
      <c r="A1329" t="str">
        <f>"1325"</f>
        <v>1325</v>
      </c>
      <c r="B1329" t="str">
        <f t="shared" si="72"/>
        <v>102</v>
      </c>
      <c r="C1329" t="str">
        <f t="shared" si="74"/>
        <v>54</v>
      </c>
      <c r="D1329" t="str">
        <f>"3"</f>
        <v>3</v>
      </c>
      <c r="E1329" t="str">
        <f>"102-54-3"</f>
        <v>102-54-3</v>
      </c>
      <c r="F1329" t="s">
        <v>18</v>
      </c>
      <c r="G1329" t="s">
        <v>19</v>
      </c>
      <c r="H1329">
        <v>2</v>
      </c>
      <c r="I1329">
        <v>0</v>
      </c>
      <c r="J1329">
        <v>1</v>
      </c>
      <c r="K1329">
        <v>0</v>
      </c>
      <c r="L1329">
        <v>1</v>
      </c>
      <c r="M1329">
        <v>0</v>
      </c>
      <c r="N1329">
        <v>1</v>
      </c>
      <c r="O1329">
        <v>1</v>
      </c>
      <c r="P1329">
        <v>0</v>
      </c>
    </row>
    <row r="1330" spans="1:16" x14ac:dyDescent="0.25">
      <c r="A1330" t="str">
        <f>"1326"</f>
        <v>1326</v>
      </c>
      <c r="B1330" t="str">
        <f t="shared" si="72"/>
        <v>102</v>
      </c>
      <c r="C1330" t="str">
        <f t="shared" si="74"/>
        <v>54</v>
      </c>
      <c r="D1330" t="str">
        <f>"27"</f>
        <v>27</v>
      </c>
      <c r="E1330" t="str">
        <f>"102-54-27"</f>
        <v>102-54-27</v>
      </c>
      <c r="F1330" t="s">
        <v>18</v>
      </c>
      <c r="G1330" t="s">
        <v>19</v>
      </c>
      <c r="H1330">
        <v>2</v>
      </c>
      <c r="I1330">
        <v>1</v>
      </c>
      <c r="J1330">
        <v>1</v>
      </c>
      <c r="K1330">
        <v>1</v>
      </c>
      <c r="L1330">
        <v>0</v>
      </c>
      <c r="M1330">
        <v>1</v>
      </c>
      <c r="N1330">
        <v>0</v>
      </c>
      <c r="O1330">
        <v>0</v>
      </c>
      <c r="P1330">
        <v>1</v>
      </c>
    </row>
    <row r="1331" spans="1:16" x14ac:dyDescent="0.25">
      <c r="A1331" t="str">
        <f>"1327"</f>
        <v>1327</v>
      </c>
      <c r="B1331" t="str">
        <f t="shared" si="72"/>
        <v>102</v>
      </c>
      <c r="C1331" t="str">
        <f t="shared" si="74"/>
        <v>54</v>
      </c>
      <c r="D1331" t="str">
        <f>"15"</f>
        <v>15</v>
      </c>
      <c r="E1331" t="str">
        <f>"102-54-15"</f>
        <v>102-54-15</v>
      </c>
      <c r="F1331" t="s">
        <v>18</v>
      </c>
      <c r="G1331" t="s">
        <v>19</v>
      </c>
      <c r="H1331">
        <v>2</v>
      </c>
      <c r="I1331">
        <v>1</v>
      </c>
      <c r="J1331">
        <v>1</v>
      </c>
      <c r="K1331">
        <v>1</v>
      </c>
      <c r="L1331">
        <v>0</v>
      </c>
      <c r="M1331">
        <v>1</v>
      </c>
      <c r="N1331">
        <v>0</v>
      </c>
      <c r="O1331">
        <v>1</v>
      </c>
      <c r="P1331">
        <v>0</v>
      </c>
    </row>
    <row r="1332" spans="1:16" x14ac:dyDescent="0.25">
      <c r="A1332" t="str">
        <f>"1328"</f>
        <v>1328</v>
      </c>
      <c r="B1332" t="str">
        <f t="shared" si="72"/>
        <v>102</v>
      </c>
      <c r="C1332" t="str">
        <f t="shared" si="74"/>
        <v>54</v>
      </c>
      <c r="D1332" t="str">
        <f>"5"</f>
        <v>5</v>
      </c>
      <c r="E1332" t="str">
        <f>"102-54-5"</f>
        <v>102-54-5</v>
      </c>
      <c r="F1332" t="s">
        <v>18</v>
      </c>
      <c r="G1332" t="s">
        <v>19</v>
      </c>
      <c r="H1332">
        <v>2</v>
      </c>
      <c r="I1332">
        <v>1</v>
      </c>
      <c r="J1332">
        <v>0</v>
      </c>
      <c r="K1332">
        <v>0</v>
      </c>
      <c r="L1332">
        <v>1</v>
      </c>
      <c r="M1332">
        <v>0</v>
      </c>
      <c r="N1332">
        <v>1</v>
      </c>
      <c r="O1332">
        <v>1</v>
      </c>
      <c r="P1332">
        <v>0</v>
      </c>
    </row>
    <row r="1333" spans="1:16" x14ac:dyDescent="0.25">
      <c r="A1333" t="str">
        <f>"1329"</f>
        <v>1329</v>
      </c>
      <c r="B1333" t="str">
        <f t="shared" si="72"/>
        <v>102</v>
      </c>
      <c r="C1333" t="str">
        <f t="shared" si="74"/>
        <v>54</v>
      </c>
      <c r="D1333" t="str">
        <f>"28"</f>
        <v>28</v>
      </c>
      <c r="E1333" t="str">
        <f>"102-54-28"</f>
        <v>102-54-28</v>
      </c>
      <c r="F1333" t="s">
        <v>18</v>
      </c>
      <c r="G1333" t="s">
        <v>20</v>
      </c>
      <c r="H1333">
        <v>1</v>
      </c>
      <c r="K1333">
        <v>0</v>
      </c>
      <c r="L1333">
        <v>1</v>
      </c>
      <c r="M1333">
        <v>0</v>
      </c>
      <c r="N1333">
        <v>1</v>
      </c>
    </row>
    <row r="1334" spans="1:16" x14ac:dyDescent="0.25">
      <c r="A1334" t="str">
        <f>"1330"</f>
        <v>1330</v>
      </c>
      <c r="B1334" t="str">
        <f t="shared" si="72"/>
        <v>102</v>
      </c>
      <c r="C1334" t="str">
        <f t="shared" si="74"/>
        <v>54</v>
      </c>
      <c r="D1334" t="str">
        <f>"16"</f>
        <v>16</v>
      </c>
      <c r="E1334" t="str">
        <f>"102-54-16"</f>
        <v>102-54-16</v>
      </c>
      <c r="F1334" t="s">
        <v>18</v>
      </c>
      <c r="G1334" t="s">
        <v>19</v>
      </c>
      <c r="H1334">
        <v>2</v>
      </c>
      <c r="I1334">
        <v>1</v>
      </c>
      <c r="J1334">
        <v>0</v>
      </c>
      <c r="K1334">
        <v>1</v>
      </c>
      <c r="L1334">
        <v>0</v>
      </c>
      <c r="M1334">
        <v>1</v>
      </c>
      <c r="N1334">
        <v>0</v>
      </c>
      <c r="O1334">
        <v>1</v>
      </c>
      <c r="P1334">
        <v>0</v>
      </c>
    </row>
    <row r="1335" spans="1:16" x14ac:dyDescent="0.25">
      <c r="A1335" t="str">
        <f>"1331"</f>
        <v>1331</v>
      </c>
      <c r="B1335" t="str">
        <f t="shared" si="72"/>
        <v>102</v>
      </c>
      <c r="C1335" t="str">
        <f t="shared" si="74"/>
        <v>54</v>
      </c>
      <c r="D1335" t="str">
        <f>"4"</f>
        <v>4</v>
      </c>
      <c r="E1335" t="str">
        <f>"102-54-4"</f>
        <v>102-54-4</v>
      </c>
      <c r="F1335" t="s">
        <v>18</v>
      </c>
      <c r="G1335" t="s">
        <v>19</v>
      </c>
      <c r="H1335">
        <v>2</v>
      </c>
      <c r="I1335">
        <v>1</v>
      </c>
      <c r="J1335">
        <v>0</v>
      </c>
      <c r="K1335">
        <v>0</v>
      </c>
      <c r="L1335">
        <v>1</v>
      </c>
      <c r="M1335">
        <v>0</v>
      </c>
      <c r="N1335">
        <v>1</v>
      </c>
      <c r="O1335">
        <v>1</v>
      </c>
      <c r="P1335">
        <v>0</v>
      </c>
    </row>
    <row r="1336" spans="1:16" x14ac:dyDescent="0.25">
      <c r="A1336" t="str">
        <f>"1332"</f>
        <v>1332</v>
      </c>
      <c r="B1336" t="str">
        <f t="shared" si="72"/>
        <v>102</v>
      </c>
      <c r="C1336" t="str">
        <f t="shared" si="74"/>
        <v>54</v>
      </c>
      <c r="D1336" t="str">
        <f>"29"</f>
        <v>29</v>
      </c>
      <c r="E1336" t="str">
        <f>"102-54-29"</f>
        <v>102-54-29</v>
      </c>
      <c r="F1336" t="s">
        <v>18</v>
      </c>
      <c r="G1336" t="s">
        <v>20</v>
      </c>
      <c r="H1336">
        <v>1</v>
      </c>
      <c r="K1336">
        <v>0</v>
      </c>
      <c r="L1336">
        <v>1</v>
      </c>
      <c r="M1336">
        <v>0</v>
      </c>
      <c r="N1336">
        <v>1</v>
      </c>
    </row>
    <row r="1337" spans="1:16" x14ac:dyDescent="0.25">
      <c r="A1337" t="str">
        <f>"1333"</f>
        <v>1333</v>
      </c>
      <c r="B1337" t="str">
        <f t="shared" si="72"/>
        <v>102</v>
      </c>
      <c r="C1337" t="str">
        <f t="shared" si="74"/>
        <v>54</v>
      </c>
      <c r="D1337" t="str">
        <f>"17"</f>
        <v>17</v>
      </c>
      <c r="E1337" t="str">
        <f>"102-54-17"</f>
        <v>102-54-17</v>
      </c>
      <c r="F1337" t="s">
        <v>18</v>
      </c>
      <c r="G1337" t="s">
        <v>19</v>
      </c>
      <c r="H1337">
        <v>2</v>
      </c>
      <c r="I1337">
        <v>0</v>
      </c>
      <c r="J1337">
        <v>1</v>
      </c>
      <c r="K1337">
        <v>0</v>
      </c>
      <c r="L1337">
        <v>1</v>
      </c>
      <c r="M1337">
        <v>0</v>
      </c>
      <c r="N1337">
        <v>1</v>
      </c>
      <c r="O1337">
        <v>1</v>
      </c>
      <c r="P1337">
        <v>0</v>
      </c>
    </row>
    <row r="1338" spans="1:16" x14ac:dyDescent="0.25">
      <c r="A1338" t="str">
        <f>"1334"</f>
        <v>1334</v>
      </c>
      <c r="B1338" t="str">
        <f t="shared" si="72"/>
        <v>102</v>
      </c>
      <c r="C1338" t="str">
        <f t="shared" si="74"/>
        <v>54</v>
      </c>
      <c r="D1338" t="str">
        <f>"10"</f>
        <v>10</v>
      </c>
      <c r="E1338" t="str">
        <f>"102-54-10"</f>
        <v>102-54-10</v>
      </c>
      <c r="F1338" t="s">
        <v>18</v>
      </c>
      <c r="G1338" t="s">
        <v>19</v>
      </c>
      <c r="H1338">
        <v>2</v>
      </c>
      <c r="I1338">
        <v>1</v>
      </c>
      <c r="J1338">
        <v>1</v>
      </c>
      <c r="K1338">
        <v>1</v>
      </c>
      <c r="L1338">
        <v>0</v>
      </c>
      <c r="M1338">
        <v>1</v>
      </c>
      <c r="N1338">
        <v>0</v>
      </c>
      <c r="O1338">
        <v>1</v>
      </c>
      <c r="P1338">
        <v>0</v>
      </c>
    </row>
    <row r="1339" spans="1:16" x14ac:dyDescent="0.25">
      <c r="A1339" t="str">
        <f>"1335"</f>
        <v>1335</v>
      </c>
      <c r="B1339" t="str">
        <f t="shared" si="72"/>
        <v>102</v>
      </c>
      <c r="C1339" t="str">
        <f t="shared" si="74"/>
        <v>54</v>
      </c>
      <c r="D1339" t="str">
        <f>"18"</f>
        <v>18</v>
      </c>
      <c r="E1339" t="str">
        <f>"102-54-18"</f>
        <v>102-54-18</v>
      </c>
      <c r="F1339" t="s">
        <v>18</v>
      </c>
      <c r="G1339" t="s">
        <v>19</v>
      </c>
      <c r="H1339">
        <v>2</v>
      </c>
      <c r="I1339">
        <v>0</v>
      </c>
      <c r="J1339">
        <v>1</v>
      </c>
      <c r="K1339">
        <v>1</v>
      </c>
      <c r="L1339">
        <v>0</v>
      </c>
      <c r="M1339">
        <v>1</v>
      </c>
      <c r="N1339">
        <v>0</v>
      </c>
      <c r="O1339">
        <v>1</v>
      </c>
      <c r="P1339">
        <v>0</v>
      </c>
    </row>
    <row r="1340" spans="1:16" x14ac:dyDescent="0.25">
      <c r="A1340" t="str">
        <f>"1336"</f>
        <v>1336</v>
      </c>
      <c r="B1340" t="str">
        <f t="shared" si="72"/>
        <v>102</v>
      </c>
      <c r="C1340" t="str">
        <f t="shared" si="74"/>
        <v>54</v>
      </c>
      <c r="D1340" t="str">
        <f>"9"</f>
        <v>9</v>
      </c>
      <c r="E1340" t="str">
        <f>"102-54-9"</f>
        <v>102-54-9</v>
      </c>
      <c r="F1340" t="s">
        <v>18</v>
      </c>
      <c r="G1340" t="s">
        <v>19</v>
      </c>
      <c r="H1340">
        <v>2</v>
      </c>
      <c r="I1340">
        <v>1</v>
      </c>
      <c r="J1340">
        <v>1</v>
      </c>
      <c r="K1340">
        <v>0</v>
      </c>
      <c r="L1340">
        <v>1</v>
      </c>
      <c r="M1340">
        <v>0</v>
      </c>
      <c r="N1340">
        <v>1</v>
      </c>
      <c r="O1340">
        <v>1</v>
      </c>
      <c r="P1340">
        <v>0</v>
      </c>
    </row>
    <row r="1341" spans="1:16" x14ac:dyDescent="0.25">
      <c r="A1341" t="str">
        <f>"1337"</f>
        <v>1337</v>
      </c>
      <c r="B1341" t="str">
        <f t="shared" si="72"/>
        <v>102</v>
      </c>
      <c r="C1341" t="str">
        <f t="shared" si="74"/>
        <v>54</v>
      </c>
      <c r="D1341" t="str">
        <f>"19"</f>
        <v>19</v>
      </c>
      <c r="E1341" t="str">
        <f>"102-54-19"</f>
        <v>102-54-19</v>
      </c>
      <c r="F1341" t="s">
        <v>18</v>
      </c>
      <c r="G1341" t="s">
        <v>19</v>
      </c>
      <c r="H1341">
        <v>2</v>
      </c>
      <c r="I1341">
        <v>0</v>
      </c>
      <c r="J1341">
        <v>1</v>
      </c>
      <c r="K1341">
        <v>0</v>
      </c>
      <c r="L1341">
        <v>1</v>
      </c>
      <c r="M1341">
        <v>0</v>
      </c>
      <c r="N1341">
        <v>1</v>
      </c>
      <c r="O1341">
        <v>1</v>
      </c>
      <c r="P1341">
        <v>0</v>
      </c>
    </row>
    <row r="1342" spans="1:16" x14ac:dyDescent="0.25">
      <c r="A1342" t="str">
        <f>"1338"</f>
        <v>1338</v>
      </c>
      <c r="B1342" t="str">
        <f t="shared" si="72"/>
        <v>102</v>
      </c>
      <c r="C1342" t="str">
        <f t="shared" si="74"/>
        <v>54</v>
      </c>
      <c r="D1342" t="str">
        <f>"6"</f>
        <v>6</v>
      </c>
      <c r="E1342" t="str">
        <f>"102-54-6"</f>
        <v>102-54-6</v>
      </c>
      <c r="F1342" t="s">
        <v>18</v>
      </c>
      <c r="G1342" t="s">
        <v>19</v>
      </c>
      <c r="H1342">
        <v>2</v>
      </c>
      <c r="I1342">
        <v>1</v>
      </c>
      <c r="J1342">
        <v>1</v>
      </c>
      <c r="K1342">
        <v>0</v>
      </c>
      <c r="L1342">
        <v>1</v>
      </c>
      <c r="M1342">
        <v>0</v>
      </c>
      <c r="N1342">
        <v>1</v>
      </c>
      <c r="O1342">
        <v>0</v>
      </c>
      <c r="P1342">
        <v>1</v>
      </c>
    </row>
    <row r="1343" spans="1:16" x14ac:dyDescent="0.25">
      <c r="A1343" t="str">
        <f>"1339"</f>
        <v>1339</v>
      </c>
      <c r="B1343" t="str">
        <f t="shared" si="72"/>
        <v>102</v>
      </c>
      <c r="C1343" t="str">
        <f t="shared" si="74"/>
        <v>54</v>
      </c>
      <c r="D1343" t="str">
        <f>"20"</f>
        <v>20</v>
      </c>
      <c r="E1343" t="str">
        <f>"102-54-20"</f>
        <v>102-54-20</v>
      </c>
      <c r="F1343" t="s">
        <v>18</v>
      </c>
      <c r="G1343" t="s">
        <v>19</v>
      </c>
      <c r="H1343">
        <v>2</v>
      </c>
      <c r="I1343">
        <v>1</v>
      </c>
      <c r="J1343">
        <v>0</v>
      </c>
      <c r="K1343">
        <v>1</v>
      </c>
      <c r="L1343">
        <v>0</v>
      </c>
      <c r="M1343">
        <v>1</v>
      </c>
      <c r="N1343">
        <v>0</v>
      </c>
      <c r="O1343">
        <v>0</v>
      </c>
      <c r="P1343">
        <v>1</v>
      </c>
    </row>
    <row r="1344" spans="1:16" x14ac:dyDescent="0.25">
      <c r="A1344" t="str">
        <f>"1340"</f>
        <v>1340</v>
      </c>
      <c r="B1344" t="str">
        <f t="shared" si="72"/>
        <v>102</v>
      </c>
      <c r="C1344" t="str">
        <f t="shared" si="74"/>
        <v>54</v>
      </c>
      <c r="D1344" t="str">
        <f>"8"</f>
        <v>8</v>
      </c>
      <c r="E1344" t="str">
        <f>"102-54-8"</f>
        <v>102-54-8</v>
      </c>
      <c r="F1344" t="s">
        <v>18</v>
      </c>
      <c r="G1344" t="s">
        <v>19</v>
      </c>
      <c r="H1344">
        <v>2</v>
      </c>
      <c r="I1344">
        <v>1</v>
      </c>
      <c r="J1344">
        <v>1</v>
      </c>
      <c r="K1344">
        <v>0</v>
      </c>
      <c r="L1344">
        <v>1</v>
      </c>
      <c r="M1344">
        <v>0</v>
      </c>
      <c r="N1344">
        <v>1</v>
      </c>
      <c r="O1344">
        <v>1</v>
      </c>
      <c r="P134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Election result data 11.13.2025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Patrick Mitchell</cp:lastModifiedBy>
  <dcterms:created xsi:type="dcterms:W3CDTF">2025-11-20T22:34:43Z</dcterms:created>
  <dcterms:modified xsi:type="dcterms:W3CDTF">2025-11-20T22:36:24Z</dcterms:modified>
</cp:coreProperties>
</file>